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ifany\Desktop\proben\alta tensão\campus capao do leao\"/>
    </mc:Choice>
  </mc:AlternateContent>
  <xr:revisionPtr revIDLastSave="0" documentId="13_ncr:1_{EF065997-0CC6-448E-834D-B0A6DDBF5A7A}" xr6:coauthVersionLast="47" xr6:coauthVersionMax="47" xr10:uidLastSave="{00000000-0000-0000-0000-000000000000}"/>
  <bookViews>
    <workbookView xWindow="-108" yWindow="-108" windowWidth="23256" windowHeight="12456" firstSheet="11" activeTab="14" xr2:uid="{00000000-000D-0000-FFFF-FFFF00000000}"/>
  </bookViews>
  <sheets>
    <sheet name="HISTORICO" sheetId="1" r:id="rId1"/>
    <sheet name="2012" sheetId="2" r:id="rId2"/>
    <sheet name="2013" sheetId="3" r:id="rId3"/>
    <sheet name="2014" sheetId="4" r:id="rId4"/>
    <sheet name="2015" sheetId="5" r:id="rId5"/>
    <sheet name="2016" sheetId="7" r:id="rId6"/>
    <sheet name="2017" sheetId="8" r:id="rId7"/>
    <sheet name="2018" sheetId="9" r:id="rId8"/>
    <sheet name="2019" sheetId="10" r:id="rId9"/>
    <sheet name="2020" sheetId="11" r:id="rId10"/>
    <sheet name="2021" sheetId="12" r:id="rId11"/>
    <sheet name="2022" sheetId="13" r:id="rId12"/>
    <sheet name="2023" sheetId="14" r:id="rId13"/>
    <sheet name="2024" sheetId="15" r:id="rId14"/>
    <sheet name="Gráfico" sheetId="6" r:id="rId1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7" i="6" l="1"/>
  <c r="D16" i="6"/>
  <c r="D8" i="15"/>
  <c r="D15" i="6"/>
  <c r="D7" i="15"/>
  <c r="D25" i="1"/>
  <c r="C25" i="1"/>
  <c r="D14" i="6"/>
  <c r="D13" i="6"/>
  <c r="D6" i="15"/>
  <c r="C18" i="15"/>
  <c r="D17" i="14"/>
  <c r="D16" i="14"/>
  <c r="D12" i="6"/>
  <c r="D11" i="6"/>
  <c r="D15" i="14"/>
  <c r="D10" i="6"/>
  <c r="D14" i="14"/>
  <c r="D9" i="6"/>
  <c r="D13" i="14"/>
  <c r="D8" i="6"/>
  <c r="D12" i="14"/>
  <c r="D7" i="6"/>
  <c r="D11" i="14"/>
  <c r="D6" i="6"/>
  <c r="D9" i="14"/>
  <c r="D10" i="14"/>
  <c r="D6" i="14"/>
  <c r="D7" i="14"/>
  <c r="D8" i="14"/>
  <c r="D17" i="13"/>
  <c r="C18" i="14"/>
  <c r="D18" i="15" l="1"/>
  <c r="D18" i="14"/>
  <c r="D16" i="13"/>
  <c r="D15" i="13"/>
  <c r="D14" i="13"/>
  <c r="D13" i="13"/>
  <c r="D12" i="13" l="1"/>
  <c r="D11" i="13"/>
  <c r="D10" i="13"/>
  <c r="D9" i="13"/>
  <c r="D8" i="13"/>
  <c r="D7" i="13"/>
  <c r="D6" i="13"/>
  <c r="C18" i="13"/>
  <c r="C24" i="1" s="1"/>
  <c r="D17" i="12"/>
  <c r="D16" i="12"/>
  <c r="D15" i="12"/>
  <c r="D14" i="12"/>
  <c r="D13" i="10"/>
  <c r="D13" i="12"/>
  <c r="D12" i="12"/>
  <c r="D11" i="12"/>
  <c r="D8" i="12"/>
  <c r="D9" i="12"/>
  <c r="D10" i="12"/>
  <c r="D7" i="12"/>
  <c r="D11" i="11"/>
  <c r="D6" i="12"/>
  <c r="C18" i="12"/>
  <c r="C23" i="1" s="1"/>
  <c r="D17" i="11"/>
  <c r="D16" i="11"/>
  <c r="D15" i="11"/>
  <c r="D14" i="11"/>
  <c r="D13" i="11"/>
  <c r="D12" i="11"/>
  <c r="D10" i="11"/>
  <c r="D18" i="13" l="1"/>
  <c r="D24" i="1" s="1"/>
  <c r="D18" i="12"/>
  <c r="D23" i="1" s="1"/>
  <c r="D9" i="11"/>
  <c r="D7" i="11" l="1"/>
  <c r="D8" i="11"/>
  <c r="D6" i="11"/>
  <c r="C18" i="11"/>
  <c r="C22" i="1" s="1"/>
  <c r="D17" i="10"/>
  <c r="D16" i="10"/>
  <c r="D15" i="10"/>
  <c r="D14" i="10"/>
  <c r="D12" i="10"/>
  <c r="D11" i="10"/>
  <c r="D10" i="10"/>
  <c r="D17" i="1"/>
  <c r="C17" i="1"/>
  <c r="C21" i="5"/>
  <c r="D20" i="5"/>
  <c r="D21" i="5" s="1"/>
  <c r="D9" i="10"/>
  <c r="D8" i="10"/>
  <c r="D7" i="10"/>
  <c r="D18" i="11" l="1"/>
  <c r="D22" i="1" s="1"/>
  <c r="D18" i="10"/>
  <c r="D21" i="1" s="1"/>
  <c r="C18" i="10"/>
  <c r="C21" i="1" s="1"/>
  <c r="D18" i="9"/>
  <c r="C18" i="9"/>
  <c r="D18" i="8" l="1"/>
  <c r="C18" i="8"/>
</calcChain>
</file>

<file path=xl/sharedStrings.xml><?xml version="1.0" encoding="utf-8"?>
<sst xmlns="http://schemas.openxmlformats.org/spreadsheetml/2006/main" count="232" uniqueCount="21">
  <si>
    <t>Ano</t>
  </si>
  <si>
    <t>Total em consumo (kWh)</t>
  </si>
  <si>
    <t>Mês</t>
  </si>
  <si>
    <t>Consumo Ativo (kWh)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</si>
  <si>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</si>
  <si>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</si>
  <si>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</si>
  <si>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</si>
  <si>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</si>
  <si>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</si>
  <si>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</si>
  <si>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</si>
  <si>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</si>
  <si>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</si>
  <si>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</si>
  <si>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</si>
  <si>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</si>
  <si>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>Total em dinheiro (R$)</t>
  </si>
  <si>
    <t>Fatura Total (R$)</t>
  </si>
  <si>
    <t>94.551.85</t>
  </si>
  <si>
    <t>Campus Capão do Leão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</si>
</sst>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6" formatCode="&quot;R$&quot;\ #,##0.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Berlin Sans FB"/>
      <family val="2"/>
    </font>
    <font>
      <sz val="14"/>
      <color theme="1"/>
      <name val="Berlin Sans FB"/>
      <family val="2"/>
    </font>
    <font>
      <sz val="36"/>
      <color theme="1"/>
      <name val="Berlin Sans FB"/>
      <family val="2"/>
    </font>
    <font>
      <sz val="11"/>
      <color theme="1"/>
      <name val="Tw Cen MT"/>
      <family val="2"/>
    </font>
    <font>
      <b/>
      <sz val="11"/>
      <color rgb="FF666666"/>
      <name val="Tw Cen MT"/>
      <family val="2"/>
    </font>
    <font>
      <sz val="36"/>
      <color theme="1"/>
      <name val="Tw Cen MT"/>
      <family val="2"/>
    </font>
    <font>
      <sz val="11"/>
      <color rgb="FFFF0000"/>
      <name val="Tw Cen MT"/>
      <family val="2"/>
    </font>
    <font>
      <sz val="14"/>
      <color theme="1"/>
      <name val="Tw Cen MT"/>
      <family val="2"/>
    </font>
    <font>
      <sz val="16"/>
      <color theme="1"/>
      <name val="Tw Cen MT"/>
      <family val="2"/>
    </font>
    <font>
      <sz val="10"/>
      <name val="Arial"/>
      <family val="2"/>
    </font>
    <font>
      <sz val="16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</borders>
  <cellStyleXfs count="2">
    <xf numFmtId="0" fontId="0" fillId="0" borderId="0"/>
    <xf numFmtId="164" fontId="10" fillId="0" borderId="0" applyFont="0" applyFill="0" applyBorder="0" applyAlignment="0" applyProtection="0"/>
  </cellStyleXfs>
  <cellXfs count="71">
    <xf numFmtId="0" fontId="0" fillId="0" borderId="0" xfId="0"/>
    <xf numFmtId="0" fontId="1" fillId="0" borderId="0" xfId="0" applyFont="1"/>
    <xf numFmtId="0" fontId="3" fillId="0" borderId="0" xfId="0" applyFont="1"/>
    <xf numFmtId="0" fontId="2" fillId="0" borderId="0" xfId="0" applyFont="1" applyAlignment="1">
      <alignment horizontal="center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horizontal="center"/>
    </xf>
    <xf numFmtId="4" fontId="0" fillId="0" borderId="0" xfId="0" applyNumberFormat="1"/>
    <xf numFmtId="3" fontId="0" fillId="3" borderId="2" xfId="0" applyNumberFormat="1" applyFill="1" applyBorder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4" fontId="0" fillId="3" borderId="0" xfId="0" applyNumberFormat="1" applyFill="1" applyAlignment="1">
      <alignment horizontal="center"/>
    </xf>
    <xf numFmtId="0" fontId="0" fillId="3" borderId="1" xfId="0" applyFill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4" fontId="12" fillId="0" borderId="4" xfId="0" applyNumberFormat="1" applyFont="1" applyBorder="1" applyAlignment="1">
      <alignment horizontal="center" vertical="center"/>
    </xf>
    <xf numFmtId="3" fontId="12" fillId="0" borderId="5" xfId="0" applyNumberFormat="1" applyFont="1" applyBorder="1" applyAlignment="1">
      <alignment horizontal="center" vertical="center"/>
    </xf>
    <xf numFmtId="0" fontId="13" fillId="0" borderId="6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3" borderId="1" xfId="0" applyFont="1" applyFill="1" applyBorder="1" applyAlignment="1">
      <alignment horizontal="center"/>
    </xf>
    <xf numFmtId="4" fontId="13" fillId="3" borderId="0" xfId="0" applyNumberFormat="1" applyFont="1" applyFill="1" applyAlignment="1">
      <alignment horizontal="center"/>
    </xf>
    <xf numFmtId="3" fontId="13" fillId="3" borderId="2" xfId="0" applyNumberFormat="1" applyFont="1" applyFill="1" applyBorder="1" applyAlignment="1">
      <alignment horizontal="center"/>
    </xf>
    <xf numFmtId="0" fontId="14" fillId="0" borderId="1" xfId="0" applyFont="1" applyBorder="1" applyAlignment="1">
      <alignment horizontal="center"/>
    </xf>
    <xf numFmtId="4" fontId="14" fillId="0" borderId="0" xfId="0" applyNumberFormat="1" applyFont="1" applyAlignment="1">
      <alignment horizontal="center"/>
    </xf>
    <xf numFmtId="3" fontId="14" fillId="0" borderId="2" xfId="0" applyNumberFormat="1" applyFont="1" applyBorder="1" applyAlignment="1">
      <alignment horizontal="center"/>
    </xf>
    <xf numFmtId="0" fontId="14" fillId="3" borderId="1" xfId="0" applyFont="1" applyFill="1" applyBorder="1" applyAlignment="1">
      <alignment horizontal="center"/>
    </xf>
    <xf numFmtId="4" fontId="14" fillId="3" borderId="0" xfId="0" applyNumberFormat="1" applyFont="1" applyFill="1" applyAlignment="1">
      <alignment horizontal="center"/>
    </xf>
    <xf numFmtId="3" fontId="14" fillId="3" borderId="2" xfId="0" applyNumberFormat="1" applyFont="1" applyFill="1" applyBorder="1" applyAlignment="1">
      <alignment horizontal="center"/>
    </xf>
    <xf numFmtId="0" fontId="13" fillId="3" borderId="6" xfId="0" applyFont="1" applyFill="1" applyBorder="1" applyAlignment="1">
      <alignment horizontal="center"/>
    </xf>
    <xf numFmtId="4" fontId="13" fillId="3" borderId="7" xfId="0" applyNumberFormat="1" applyFont="1" applyFill="1" applyBorder="1" applyAlignment="1">
      <alignment horizontal="center"/>
    </xf>
    <xf numFmtId="3" fontId="13" fillId="3" borderId="8" xfId="0" applyNumberFormat="1" applyFont="1" applyFill="1" applyBorder="1" applyAlignment="1">
      <alignment horizontal="center"/>
    </xf>
    <xf numFmtId="0" fontId="0" fillId="0" borderId="1" xfId="0" applyBorder="1"/>
    <xf numFmtId="4" fontId="0" fillId="0" borderId="2" xfId="0" applyNumberFormat="1" applyBorder="1"/>
    <xf numFmtId="4" fontId="14" fillId="3" borderId="0" xfId="0" applyNumberFormat="1" applyFont="1" applyFill="1" applyAlignment="1">
      <alignment horizontal="center" vertical="center"/>
    </xf>
    <xf numFmtId="0" fontId="1" fillId="0" borderId="0" xfId="0" applyFont="1" applyAlignment="1">
      <alignment wrapText="1"/>
    </xf>
    <xf numFmtId="0" fontId="14" fillId="3" borderId="1" xfId="0" applyFont="1" applyFill="1" applyBorder="1" applyAlignment="1">
      <alignment horizontal="center" vertical="center"/>
    </xf>
    <xf numFmtId="3" fontId="14" fillId="3" borderId="2" xfId="0" applyNumberFormat="1" applyFont="1" applyFill="1" applyBorder="1" applyAlignment="1">
      <alignment horizontal="center" vertical="center"/>
    </xf>
    <xf numFmtId="3" fontId="14" fillId="0" borderId="0" xfId="0" applyNumberFormat="1" applyFont="1" applyAlignment="1">
      <alignment horizontal="center"/>
    </xf>
    <xf numFmtId="0" fontId="14" fillId="0" borderId="1" xfId="0" applyFont="1" applyBorder="1" applyAlignment="1">
      <alignment horizontal="center" vertical="center"/>
    </xf>
    <xf numFmtId="3" fontId="14" fillId="0" borderId="2" xfId="0" applyNumberFormat="1" applyFont="1" applyBorder="1" applyAlignment="1">
      <alignment horizontal="center" vertical="center"/>
    </xf>
    <xf numFmtId="17" fontId="14" fillId="0" borderId="1" xfId="0" applyNumberFormat="1" applyFont="1" applyBorder="1" applyAlignment="1">
      <alignment horizontal="center"/>
    </xf>
    <xf numFmtId="17" fontId="14" fillId="3" borderId="1" xfId="0" applyNumberFormat="1" applyFont="1" applyFill="1" applyBorder="1" applyAlignment="1">
      <alignment horizontal="center"/>
    </xf>
    <xf numFmtId="3" fontId="14" fillId="0" borderId="8" xfId="0" applyNumberFormat="1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166" fontId="14" fillId="0" borderId="7" xfId="0" applyNumberFormat="1" applyFont="1" applyBorder="1" applyAlignment="1">
      <alignment horizontal="center"/>
    </xf>
    <xf numFmtId="3" fontId="13" fillId="0" borderId="2" xfId="0" applyNumberFormat="1" applyFont="1" applyBorder="1" applyAlignment="1">
      <alignment horizontal="center"/>
    </xf>
    <xf numFmtId="166" fontId="14" fillId="3" borderId="4" xfId="0" applyNumberFormat="1" applyFont="1" applyFill="1" applyBorder="1" applyAlignment="1">
      <alignment horizontal="center"/>
    </xf>
    <xf numFmtId="3" fontId="14" fillId="3" borderId="5" xfId="0" applyNumberFormat="1" applyFont="1" applyFill="1" applyBorder="1" applyAlignment="1">
      <alignment horizontal="center"/>
    </xf>
    <xf numFmtId="166" fontId="14" fillId="0" borderId="0" xfId="0" applyNumberFormat="1" applyFont="1" applyAlignment="1">
      <alignment horizontal="center"/>
    </xf>
    <xf numFmtId="166" fontId="14" fillId="3" borderId="0" xfId="0" applyNumberFormat="1" applyFont="1" applyFill="1" applyAlignment="1">
      <alignment horizontal="center"/>
    </xf>
    <xf numFmtId="166" fontId="14" fillId="3" borderId="0" xfId="0" applyNumberFormat="1" applyFont="1" applyFill="1" applyAlignment="1">
      <alignment horizontal="center" vertical="center"/>
    </xf>
    <xf numFmtId="166" fontId="14" fillId="0" borderId="0" xfId="0" applyNumberFormat="1" applyFont="1" applyAlignment="1">
      <alignment horizontal="center" vertical="center"/>
    </xf>
    <xf numFmtId="0" fontId="14" fillId="3" borderId="3" xfId="0" applyFont="1" applyFill="1" applyBorder="1" applyAlignment="1">
      <alignment horizontal="center"/>
    </xf>
    <xf numFmtId="0" fontId="11" fillId="2" borderId="9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4" fontId="13" fillId="0" borderId="0" xfId="0" applyNumberFormat="1" applyFont="1" applyBorder="1" applyAlignment="1">
      <alignment horizontal="center"/>
    </xf>
    <xf numFmtId="166" fontId="14" fillId="0" borderId="0" xfId="0" applyNumberFormat="1" applyFont="1" applyBorder="1" applyAlignment="1">
      <alignment horizontal="center"/>
    </xf>
    <xf numFmtId="166" fontId="14" fillId="3" borderId="0" xfId="0" applyNumberFormat="1" applyFont="1" applyFill="1" applyBorder="1" applyAlignment="1">
      <alignment horizontal="center"/>
    </xf>
    <xf numFmtId="17" fontId="14" fillId="3" borderId="3" xfId="0" applyNumberFormat="1" applyFont="1" applyFill="1" applyBorder="1" applyAlignment="1">
      <alignment horizontal="center"/>
    </xf>
  </cellXfs>
  <cellStyles count="2">
    <cellStyle name="Normal" xfId="0" builtinId="0"/>
    <cellStyle name="Vírgula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7202609651216691E-2"/>
          <c:y val="1.7400193396878021E-2"/>
          <c:w val="0.94085556586108332"/>
          <c:h val="0.86626171728533963"/>
        </c:manualLayout>
      </c:layout>
      <c:lineChart>
        <c:grouping val="standard"/>
        <c:varyColors val="0"/>
        <c:ser>
          <c:idx val="1"/>
          <c:order val="0"/>
          <c:tx>
            <c:strRef>
              <c:f>HISTORICO!$C$5</c:f>
              <c:strCache>
                <c:ptCount val="1"/>
                <c:pt idx="0">
                  <c:v>Total em dinheiro (R$)</c:v>
                </c:pt>
              </c:strCache>
            </c:strRef>
          </c:tx>
          <c:spPr>
            <a:ln>
              <a:solidFill>
                <a:schemeClr val="tx2">
                  <a:lumMod val="50000"/>
                </a:schemeClr>
              </a:solidFill>
            </a:ln>
          </c:spPr>
          <c:marker>
            <c:symbol val="diamond"/>
            <c:size val="7"/>
            <c:spPr>
              <a:solidFill>
                <a:schemeClr val="tx2">
                  <a:lumMod val="50000"/>
                </a:schemeClr>
              </a:solidFill>
              <a:ln>
                <a:solidFill>
                  <a:schemeClr val="tx2">
                    <a:lumMod val="50000"/>
                  </a:schemeClr>
                </a:solidFill>
              </a:ln>
            </c:spPr>
          </c:marker>
          <c:dLbls>
            <c:dLbl>
              <c:idx val="0"/>
              <c:layout>
                <c:manualLayout>
                  <c:x val="-3.0307633367300676E-2"/>
                  <c:y val="4.78190987161612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3C7-4D90-8B09-5E61E606DE6D}"/>
                </c:ext>
              </c:extLst>
            </c:dLbl>
            <c:dLbl>
              <c:idx val="1"/>
              <c:layout>
                <c:manualLayout>
                  <c:x val="-4.092880001474216E-2"/>
                  <c:y val="-5.93314344078376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3C7-4D90-8B09-5E61E606DE6D}"/>
                </c:ext>
              </c:extLst>
            </c:dLbl>
            <c:dLbl>
              <c:idx val="2"/>
              <c:layout>
                <c:manualLayout>
                  <c:x val="9.5527218296569318E-3"/>
                  <c:y val="-9.8464007788500261E-3"/>
                </c:manualLayout>
              </c:layout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3C7-4D90-8B09-5E61E606DE6D}"/>
                </c:ext>
              </c:extLst>
            </c:dLbl>
            <c:dLbl>
              <c:idx val="3"/>
              <c:layout>
                <c:manualLayout>
                  <c:x val="-3.2746603375890422E-2"/>
                  <c:y val="-5.424987782158900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3C7-4D90-8B09-5E61E606DE6D}"/>
                </c:ext>
              </c:extLst>
            </c:dLbl>
            <c:dLbl>
              <c:idx val="4"/>
              <c:layout>
                <c:manualLayout>
                  <c:x val="6.3694319420689585E-3"/>
                  <c:y val="-1.2884968326327633E-2"/>
                </c:manualLayout>
              </c:layout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3C7-4D90-8B09-5E61E606DE6D}"/>
                </c:ext>
              </c:extLst>
            </c:dLbl>
            <c:dLbl>
              <c:idx val="5"/>
              <c:layout>
                <c:manualLayout>
                  <c:x val="-3.3349422770649985E-2"/>
                  <c:y val="-4.61928940769770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3C7-4D90-8B09-5E61E606DE6D}"/>
                </c:ext>
              </c:extLst>
            </c:dLbl>
            <c:dLbl>
              <c:idx val="6"/>
              <c:layout>
                <c:manualLayout>
                  <c:x val="-3.4510570414161716E-2"/>
                  <c:y val="4.867001974829248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3C7-4D90-8B09-5E61E606DE6D}"/>
                </c:ext>
              </c:extLst>
            </c:dLbl>
            <c:dLbl>
              <c:idx val="7"/>
              <c:layout>
                <c:manualLayout>
                  <c:x val="5.441119527116167E-3"/>
                  <c:y val="-4.0644919385076856E-3"/>
                </c:manualLayout>
              </c:layout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3C7-4D90-8B09-5E61E606DE6D}"/>
                </c:ext>
              </c:extLst>
            </c:dLbl>
            <c:dLbl>
              <c:idx val="8"/>
              <c:layout>
                <c:manualLayout>
                  <c:x val="-3.9418035448142381E-2"/>
                  <c:y val="-3.4922385082382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3C7-4D90-8B09-5E61E606DE6D}"/>
                </c:ext>
              </c:extLst>
            </c:dLbl>
            <c:dLbl>
              <c:idx val="9"/>
              <c:layout>
                <c:manualLayout>
                  <c:x val="-9.2831241495273551E-4"/>
                  <c:y val="2.2397200349956254E-2"/>
                </c:manualLayout>
              </c:layout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3C7-4D90-8B09-5E61E606DE6D}"/>
                </c:ext>
              </c:extLst>
            </c:dLbl>
            <c:dLbl>
              <c:idx val="10"/>
              <c:layout>
                <c:manualLayout>
                  <c:x val="1.5523936946467424E-2"/>
                  <c:y val="-1.4453456475835261E-3"/>
                </c:manualLayout>
              </c:layout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C3C7-4D90-8B09-5E61E606DE6D}"/>
                </c:ext>
              </c:extLst>
            </c:dLbl>
            <c:dLbl>
              <c:idx val="11"/>
              <c:layout>
                <c:manualLayout>
                  <c:x val="-4.1036617231268176E-2"/>
                  <c:y val="-4.92122655139949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C3C7-4D90-8B09-5E61E606DE6D}"/>
                </c:ext>
              </c:extLst>
            </c:dLbl>
            <c:dLbl>
              <c:idx val="12"/>
              <c:layout>
                <c:manualLayout>
                  <c:x val="-3.4497637658816509E-3"/>
                  <c:y val="2.3781237871581852E-3"/>
                </c:manualLayout>
              </c:layout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C3C7-4D90-8B09-5E61E606DE6D}"/>
                </c:ext>
              </c:extLst>
            </c:dLbl>
            <c:dLbl>
              <c:idx val="13"/>
              <c:layout>
                <c:manualLayout>
                  <c:x val="1.075036028979646E-2"/>
                  <c:y val="1.8363757161933707E-2"/>
                </c:manualLayout>
              </c:layout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C3C7-4D90-8B09-5E61E606DE6D}"/>
                </c:ext>
              </c:extLst>
            </c:dLbl>
            <c:dLbl>
              <c:idx val="14"/>
              <c:layout>
                <c:manualLayout>
                  <c:x val="-6.5946466664881687E-2"/>
                  <c:y val="-2.72142922773922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C3C7-4D90-8B09-5E61E606DE6D}"/>
                </c:ext>
              </c:extLst>
            </c:dLbl>
            <c:dLbl>
              <c:idx val="15"/>
              <c:layout>
                <c:manualLayout>
                  <c:x val="-3.30768763224535E-2"/>
                  <c:y val="-4.4320068819403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C3C7-4D90-8B09-5E61E606DE6D}"/>
                </c:ext>
              </c:extLst>
            </c:dLbl>
            <c:dLbl>
              <c:idx val="17"/>
              <c:layout>
                <c:manualLayout>
                  <c:x val="-1.8115124963615517E-2"/>
                  <c:y val="3.34746208474321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405-496A-85F2-39CAF0EA965E}"/>
                </c:ext>
              </c:extLst>
            </c:dLbl>
            <c:dLbl>
              <c:idx val="18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8.862167956825058E-2"/>
                      <c:h val="5.8193943413085543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2-9F81-4481-9653-09F7E4A6CFEB}"/>
                </c:ext>
              </c:extLst>
            </c:dLbl>
            <c:numFmt formatCode="&quot;R$&quot;\ 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/>
                </a:pPr>
                <a:endParaRPr lang="pt-BR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HISTORICO!$B$6:$B$25</c:f>
              <c:numCache>
                <c:formatCode>General</c:formatCode>
                <c:ptCount val="2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  <c:pt idx="19">
                  <c:v>2023</c:v>
                </c:pt>
              </c:numCache>
            </c:numRef>
          </c:cat>
          <c:val>
            <c:numRef>
              <c:f>HISTORICO!$C$6:$C$25</c:f>
              <c:numCache>
                <c:formatCode>"R$"\ #,##0.00</c:formatCode>
                <c:ptCount val="20"/>
                <c:pt idx="0">
                  <c:v>550542.68999999994</c:v>
                </c:pt>
                <c:pt idx="1">
                  <c:v>641507.62</c:v>
                </c:pt>
                <c:pt idx="2">
                  <c:v>788563.39</c:v>
                </c:pt>
                <c:pt idx="3">
                  <c:v>789553.84</c:v>
                </c:pt>
                <c:pt idx="4">
                  <c:v>796761.3</c:v>
                </c:pt>
                <c:pt idx="5">
                  <c:v>786362.51</c:v>
                </c:pt>
                <c:pt idx="6">
                  <c:v>832816.11</c:v>
                </c:pt>
                <c:pt idx="7">
                  <c:v>920094.37</c:v>
                </c:pt>
                <c:pt idx="8">
                  <c:v>1078693.45</c:v>
                </c:pt>
                <c:pt idx="9">
                  <c:v>992413.73</c:v>
                </c:pt>
                <c:pt idx="10">
                  <c:v>713870.2</c:v>
                </c:pt>
                <c:pt idx="11">
                  <c:v>1134464.3999999999</c:v>
                </c:pt>
                <c:pt idx="12">
                  <c:v>1190277.9099999999</c:v>
                </c:pt>
                <c:pt idx="13">
                  <c:v>1073989.1499999999</c:v>
                </c:pt>
                <c:pt idx="14">
                  <c:v>1548822.87</c:v>
                </c:pt>
                <c:pt idx="15">
                  <c:v>1556349</c:v>
                </c:pt>
                <c:pt idx="16">
                  <c:v>1113835.7699999998</c:v>
                </c:pt>
                <c:pt idx="17">
                  <c:v>1393672.32</c:v>
                </c:pt>
                <c:pt idx="18">
                  <c:v>1776239.04</c:v>
                </c:pt>
                <c:pt idx="19">
                  <c:v>1725982.3599999999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C3C7-4D90-8B09-5E61E606DE6D}"/>
            </c:ext>
          </c:extLst>
        </c:ser>
        <c:ser>
          <c:idx val="2"/>
          <c:order val="1"/>
          <c:tx>
            <c:strRef>
              <c:f>HISTORICO!$D$5</c:f>
              <c:strCache>
                <c:ptCount val="1"/>
                <c:pt idx="0">
                  <c:v>Total em consumo (kWh)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square"/>
            <c:size val="7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dLbls>
            <c:dLbl>
              <c:idx val="3"/>
              <c:layout>
                <c:manualLayout>
                  <c:x val="-4.3693337920560439E-2"/>
                  <c:y val="-6.7647556232031114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C3C7-4D90-8B09-5E61E606DE6D}"/>
                </c:ext>
              </c:extLst>
            </c:dLbl>
            <c:dLbl>
              <c:idx val="10"/>
              <c:layout>
                <c:manualLayout>
                  <c:x val="-3.5693337080665362E-2"/>
                  <c:y val="-6.7647556232031322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C3C7-4D90-8B09-5E61E606DE6D}"/>
                </c:ext>
              </c:extLst>
            </c:dLbl>
            <c:dLbl>
              <c:idx val="11"/>
              <c:layout>
                <c:manualLayout>
                  <c:x val="-4.1026670973928737E-2"/>
                  <c:y val="-3.3823778116015583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C3C7-4D90-8B09-5E61E606DE6D}"/>
                </c:ext>
              </c:extLst>
            </c:dLbl>
            <c:dLbl>
              <c:idx val="12"/>
              <c:layout>
                <c:manualLayout>
                  <c:x val="-3.9693337500612887E-2"/>
                  <c:y val="6.7647556232031114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C3C7-4D90-8B09-5E61E606DE6D}"/>
                </c:ext>
              </c:extLst>
            </c:dLbl>
            <c:dLbl>
              <c:idx val="14"/>
              <c:layout>
                <c:manualLayout>
                  <c:x val="-4.49573358416702E-2"/>
                  <c:y val="-2.36766446812109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C3C7-4D90-8B09-5E61E606DE6D}"/>
                </c:ext>
              </c:extLst>
            </c:dLbl>
            <c:dLbl>
              <c:idx val="15"/>
              <c:layout>
                <c:manualLayout>
                  <c:x val="-3.4613398920952283E-2"/>
                  <c:y val="3.3823778116015427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C3C7-4D90-8B09-5E61E606DE6D}"/>
                </c:ext>
              </c:extLst>
            </c:dLbl>
            <c:dLbl>
              <c:idx val="16"/>
              <c:layout>
                <c:manualLayout>
                  <c:x val="-4.7543320071849825E-2"/>
                  <c:y val="1.01471334348046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A3C-4D73-9A04-F12A55A223E2}"/>
                </c:ext>
              </c:extLst>
            </c:dLbl>
            <c:dLbl>
              <c:idx val="17"/>
              <c:layout>
                <c:manualLayout>
                  <c:x val="-3.7199383151131742E-2"/>
                  <c:y val="-1.35295112464062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F81-4481-9653-09F7E4A6CFEB}"/>
                </c:ext>
              </c:extLst>
            </c:dLbl>
            <c:dLbl>
              <c:idx val="18"/>
              <c:layout>
                <c:manualLayout>
                  <c:x val="-2.6613239282240752E-2"/>
                  <c:y val="-3.3823778116015583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F81-4481-9653-09F7E4A6CFE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/>
                </a:pPr>
                <a:endParaRPr lang="pt-B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HISTORICO!$B$6:$B$25</c:f>
              <c:numCache>
                <c:formatCode>General</c:formatCode>
                <c:ptCount val="2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  <c:pt idx="19">
                  <c:v>2023</c:v>
                </c:pt>
              </c:numCache>
            </c:numRef>
          </c:cat>
          <c:val>
            <c:numRef>
              <c:f>HISTORICO!$D$6:$D$25</c:f>
              <c:numCache>
                <c:formatCode>#,##0</c:formatCode>
                <c:ptCount val="20"/>
                <c:pt idx="0">
                  <c:v>1885213</c:v>
                </c:pt>
                <c:pt idx="1">
                  <c:v>2033879</c:v>
                </c:pt>
                <c:pt idx="2">
                  <c:v>2251387</c:v>
                </c:pt>
                <c:pt idx="3">
                  <c:v>2565741</c:v>
                </c:pt>
                <c:pt idx="4">
                  <c:v>2494389</c:v>
                </c:pt>
                <c:pt idx="5">
                  <c:v>2295659</c:v>
                </c:pt>
                <c:pt idx="6">
                  <c:v>2400655</c:v>
                </c:pt>
                <c:pt idx="7">
                  <c:v>2584064</c:v>
                </c:pt>
                <c:pt idx="8">
                  <c:v>2747465</c:v>
                </c:pt>
                <c:pt idx="9">
                  <c:v>2892470</c:v>
                </c:pt>
                <c:pt idx="10">
                  <c:v>2964480</c:v>
                </c:pt>
                <c:pt idx="11">
                  <c:v>2821036</c:v>
                </c:pt>
                <c:pt idx="12">
                  <c:v>2768759</c:v>
                </c:pt>
                <c:pt idx="13">
                  <c:v>2961523</c:v>
                </c:pt>
                <c:pt idx="14">
                  <c:v>3193405.37</c:v>
                </c:pt>
                <c:pt idx="15">
                  <c:v>3184449</c:v>
                </c:pt>
                <c:pt idx="16">
                  <c:v>2355824</c:v>
                </c:pt>
                <c:pt idx="17">
                  <c:v>2416864</c:v>
                </c:pt>
                <c:pt idx="18">
                  <c:v>2824223</c:v>
                </c:pt>
                <c:pt idx="19">
                  <c:v>3023783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1-C3C7-4D90-8B09-5E61E606DE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600768"/>
        <c:axId val="111602304"/>
      </c:lineChart>
      <c:catAx>
        <c:axId val="111600768"/>
        <c:scaling>
          <c:orientation val="minMax"/>
        </c:scaling>
        <c:delete val="0"/>
        <c:axPos val="b"/>
        <c:majorGridlines>
          <c:spPr>
            <a:ln>
              <a:solidFill>
                <a:schemeClr val="tx2">
                  <a:lumMod val="20000"/>
                  <a:lumOff val="80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2700000" vert="horz"/>
          <a:lstStyle/>
          <a:p>
            <a:pPr>
              <a:defRPr sz="900" b="1" i="0">
                <a:latin typeface="Tw Cen MT" pitchFamily="34" charset="0"/>
              </a:defRPr>
            </a:pPr>
            <a:endParaRPr lang="pt-BR"/>
          </a:p>
        </c:txPr>
        <c:crossAx val="111602304"/>
        <c:crosses val="autoZero"/>
        <c:auto val="1"/>
        <c:lblAlgn val="ctr"/>
        <c:lblOffset val="100"/>
        <c:noMultiLvlLbl val="0"/>
      </c:catAx>
      <c:valAx>
        <c:axId val="111602304"/>
        <c:scaling>
          <c:orientation val="minMax"/>
        </c:scaling>
        <c:delete val="1"/>
        <c:axPos val="l"/>
        <c:numFmt formatCode="&quot;R$&quot;\ #,##0.00" sourceLinked="1"/>
        <c:majorTickMark val="out"/>
        <c:minorTickMark val="none"/>
        <c:tickLblPos val="nextTo"/>
        <c:crossAx val="11160076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2.1494924904137871E-2"/>
          <c:y val="4.1135040768305778E-2"/>
          <c:w val="0.23863069673014306"/>
          <c:h val="0.12453888469420775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800" b="1">
              <a:latin typeface="Tw Cen MT" pitchFamily="34" charset="0"/>
            </a:defRPr>
          </a:pPr>
          <a:endParaRPr lang="pt-BR"/>
        </a:p>
      </c:txPr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113" footer="0.3149606200000011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4540438259171094E-2"/>
          <c:y val="3.8842692919410865E-2"/>
          <c:w val="0.97892820412658699"/>
          <c:h val="0.83027396177573232"/>
        </c:manualLayout>
      </c:layout>
      <c:lineChart>
        <c:grouping val="stacked"/>
        <c:varyColors val="0"/>
        <c:ser>
          <c:idx val="0"/>
          <c:order val="0"/>
          <c:tx>
            <c:strRef>
              <c:f>Gráfico!$C$5</c:f>
              <c:strCache>
                <c:ptCount val="1"/>
                <c:pt idx="0">
                  <c:v>Fatura Total (R$)</c:v>
                </c:pt>
              </c:strCache>
            </c:strRef>
          </c:tx>
          <c:spPr>
            <a:ln>
              <a:solidFill>
                <a:schemeClr val="tx2">
                  <a:lumMod val="50000"/>
                </a:schemeClr>
              </a:solidFill>
            </a:ln>
          </c:spPr>
          <c:marker>
            <c:spPr>
              <a:solidFill>
                <a:schemeClr val="tx2">
                  <a:lumMod val="50000"/>
                </a:schemeClr>
              </a:solidFill>
              <a:ln>
                <a:solidFill>
                  <a:schemeClr val="tx2">
                    <a:lumMod val="50000"/>
                  </a:schemeClr>
                </a:solidFill>
              </a:ln>
            </c:spPr>
          </c:marker>
          <c:dLbls>
            <c:dLbl>
              <c:idx val="0"/>
              <c:layout>
                <c:manualLayout>
                  <c:x val="-5.456607458951352E-2"/>
                  <c:y val="-4.79567625097321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75B-4C7D-A973-9F49C638A505}"/>
                </c:ext>
              </c:extLst>
            </c:dLbl>
            <c:dLbl>
              <c:idx val="1"/>
              <c:layout>
                <c:manualLayout>
                  <c:x val="-5.8529207104925839E-2"/>
                  <c:y val="-5.84066203133819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5C6-40B4-AEF9-25C4F8EC676F}"/>
                </c:ext>
              </c:extLst>
            </c:dLbl>
            <c:dLbl>
              <c:idx val="2"/>
              <c:layout>
                <c:manualLayout>
                  <c:x val="-6.9913080632362817E-2"/>
                  <c:y val="5.32443643496956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5C6-40B4-AEF9-25C4F8EC676F}"/>
                </c:ext>
              </c:extLst>
            </c:dLbl>
            <c:dLbl>
              <c:idx val="3"/>
              <c:layout>
                <c:manualLayout>
                  <c:x val="-6.0045168772508088E-2"/>
                  <c:y val="6.305296404539001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0A4-42F7-B526-0812240D2284}"/>
                </c:ext>
              </c:extLst>
            </c:dLbl>
            <c:dLbl>
              <c:idx val="4"/>
              <c:layout>
                <c:manualLayout>
                  <c:x val="-5.9737776963926022E-2"/>
                  <c:y val="-5.77790363010204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5C6-40B4-AEF9-25C4F8EC676F}"/>
                </c:ext>
              </c:extLst>
            </c:dLbl>
            <c:dLbl>
              <c:idx val="5"/>
              <c:layout>
                <c:manualLayout>
                  <c:x val="-5.2790087285600987E-2"/>
                  <c:y val="-8.584511750748592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0A4-42F7-B526-0812240D2284}"/>
                </c:ext>
              </c:extLst>
            </c:dLbl>
            <c:dLbl>
              <c:idx val="6"/>
              <c:layout>
                <c:manualLayout>
                  <c:x val="-6.4239638649819936E-2"/>
                  <c:y val="6.536730472465641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5C6-40B4-AEF9-25C4F8EC676F}"/>
                </c:ext>
              </c:extLst>
            </c:dLbl>
            <c:dLbl>
              <c:idx val="7"/>
              <c:layout>
                <c:manualLayout>
                  <c:x val="-5.3464811084660932E-2"/>
                  <c:y val="-5.863366727563871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0A4-42F7-B526-0812240D2284}"/>
                </c:ext>
              </c:extLst>
            </c:dLbl>
            <c:dLbl>
              <c:idx val="8"/>
              <c:layout>
                <c:manualLayout>
                  <c:x val="-7.0791796374290422E-2"/>
                  <c:y val="0.10388210422680538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5C6-40B4-AEF9-25C4F8EC676F}"/>
                </c:ext>
              </c:extLst>
            </c:dLbl>
            <c:dLbl>
              <c:idx val="9"/>
              <c:layout>
                <c:manualLayout>
                  <c:x val="-6.2646157602392727E-2"/>
                  <c:y val="-0.1046606730446826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0A4-42F7-B526-0812240D2284}"/>
                </c:ext>
              </c:extLst>
            </c:dLbl>
            <c:dLbl>
              <c:idx val="10"/>
              <c:layout>
                <c:manualLayout>
                  <c:x val="-5.4807300250259414E-2"/>
                  <c:y val="8.997298511489230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5C6-40B4-AEF9-25C4F8EC676F}"/>
                </c:ext>
              </c:extLst>
            </c:dLbl>
            <c:dLbl>
              <c:idx val="11"/>
              <c:layout>
                <c:manualLayout>
                  <c:x val="-2.6579991454557688E-3"/>
                  <c:y val="-4.57164898482660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5C6-40B4-AEF9-25C4F8EC676F}"/>
                </c:ext>
              </c:extLst>
            </c:dLbl>
            <c:dLbl>
              <c:idx val="12"/>
              <c:layout>
                <c:manualLayout>
                  <c:x val="-2.3121380807181267E-2"/>
                  <c:y val="3.743948613628674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0A4-42F7-B526-0812240D2284}"/>
                </c:ext>
              </c:extLst>
            </c:dLbl>
            <c:numFmt formatCode="&quot;R$&quot;#,##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/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Gráfico!$B$6:$B$17</c:f>
              <c:numCache>
                <c:formatCode>mmm\-yy</c:formatCode>
                <c:ptCount val="12"/>
                <c:pt idx="0">
                  <c:v>45017</c:v>
                </c:pt>
                <c:pt idx="1">
                  <c:v>45047</c:v>
                </c:pt>
                <c:pt idx="2">
                  <c:v>45078</c:v>
                </c:pt>
                <c:pt idx="3">
                  <c:v>45108</c:v>
                </c:pt>
                <c:pt idx="4">
                  <c:v>45139</c:v>
                </c:pt>
                <c:pt idx="5">
                  <c:v>45170</c:v>
                </c:pt>
                <c:pt idx="6">
                  <c:v>45200</c:v>
                </c:pt>
                <c:pt idx="7">
                  <c:v>45231</c:v>
                </c:pt>
                <c:pt idx="8">
                  <c:v>45261</c:v>
                </c:pt>
                <c:pt idx="9">
                  <c:v>45292</c:v>
                </c:pt>
                <c:pt idx="10">
                  <c:v>45323</c:v>
                </c:pt>
                <c:pt idx="11">
                  <c:v>45352</c:v>
                </c:pt>
              </c:numCache>
            </c:numRef>
          </c:cat>
          <c:val>
            <c:numRef>
              <c:f>Gráfico!$C$6:$C$17</c:f>
              <c:numCache>
                <c:formatCode>"R$"\ #,##0.00</c:formatCode>
                <c:ptCount val="12"/>
                <c:pt idx="0">
                  <c:v>197451.2</c:v>
                </c:pt>
                <c:pt idx="1">
                  <c:v>133028.53</c:v>
                </c:pt>
                <c:pt idx="2">
                  <c:v>125246.79</c:v>
                </c:pt>
                <c:pt idx="3">
                  <c:v>139109.37</c:v>
                </c:pt>
                <c:pt idx="4">
                  <c:v>143512.1</c:v>
                </c:pt>
                <c:pt idx="5">
                  <c:v>145386.20000000001</c:v>
                </c:pt>
                <c:pt idx="6">
                  <c:v>119661.68</c:v>
                </c:pt>
                <c:pt idx="7">
                  <c:v>133068.65</c:v>
                </c:pt>
                <c:pt idx="8">
                  <c:v>89467.98</c:v>
                </c:pt>
                <c:pt idx="9">
                  <c:v>146267.97</c:v>
                </c:pt>
                <c:pt idx="10">
                  <c:v>145157.01999999999</c:v>
                </c:pt>
                <c:pt idx="11">
                  <c:v>175336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CCC6-4026-8F82-FBBC8699FF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587904"/>
        <c:axId val="112589440"/>
      </c:lineChart>
      <c:lineChart>
        <c:grouping val="stacked"/>
        <c:varyColors val="0"/>
        <c:ser>
          <c:idx val="1"/>
          <c:order val="1"/>
          <c:tx>
            <c:strRef>
              <c:f>Gráfico!$D$5</c:f>
              <c:strCache>
                <c:ptCount val="1"/>
                <c:pt idx="0">
                  <c:v>Consumo Ativo (kWh)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/>
                </a:pPr>
                <a:endParaRPr lang="pt-B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Gráfico!$B$6:$B$17</c:f>
              <c:numCache>
                <c:formatCode>mmm\-yy</c:formatCode>
                <c:ptCount val="12"/>
                <c:pt idx="0">
                  <c:v>45017</c:v>
                </c:pt>
                <c:pt idx="1">
                  <c:v>45047</c:v>
                </c:pt>
                <c:pt idx="2">
                  <c:v>45078</c:v>
                </c:pt>
                <c:pt idx="3">
                  <c:v>45108</c:v>
                </c:pt>
                <c:pt idx="4">
                  <c:v>45139</c:v>
                </c:pt>
                <c:pt idx="5">
                  <c:v>45170</c:v>
                </c:pt>
                <c:pt idx="6">
                  <c:v>45200</c:v>
                </c:pt>
                <c:pt idx="7">
                  <c:v>45231</c:v>
                </c:pt>
                <c:pt idx="8">
                  <c:v>45261</c:v>
                </c:pt>
                <c:pt idx="9">
                  <c:v>45292</c:v>
                </c:pt>
                <c:pt idx="10">
                  <c:v>45323</c:v>
                </c:pt>
                <c:pt idx="11">
                  <c:v>45352</c:v>
                </c:pt>
              </c:numCache>
            </c:numRef>
          </c:cat>
          <c:val>
            <c:numRef>
              <c:f>Gráfico!$D$6:$D$17</c:f>
              <c:numCache>
                <c:formatCode>#,##0</c:formatCode>
                <c:ptCount val="12"/>
                <c:pt idx="0">
                  <c:v>345042</c:v>
                </c:pt>
                <c:pt idx="1">
                  <c:v>226216</c:v>
                </c:pt>
                <c:pt idx="2">
                  <c:v>226033</c:v>
                </c:pt>
                <c:pt idx="3">
                  <c:v>240369</c:v>
                </c:pt>
                <c:pt idx="4">
                  <c:v>245836</c:v>
                </c:pt>
                <c:pt idx="5">
                  <c:v>254317</c:v>
                </c:pt>
                <c:pt idx="6">
                  <c:v>222730</c:v>
                </c:pt>
                <c:pt idx="7">
                  <c:v>231861</c:v>
                </c:pt>
                <c:pt idx="8">
                  <c:v>241078</c:v>
                </c:pt>
                <c:pt idx="9">
                  <c:v>242040</c:v>
                </c:pt>
                <c:pt idx="10">
                  <c:v>239969</c:v>
                </c:pt>
                <c:pt idx="11">
                  <c:v>286946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7-CCC6-4026-8F82-FBBC8699FF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621440"/>
        <c:axId val="112619904"/>
      </c:lineChart>
      <c:dateAx>
        <c:axId val="112587904"/>
        <c:scaling>
          <c:orientation val="minMax"/>
        </c:scaling>
        <c:delete val="0"/>
        <c:axPos val="b"/>
        <c:majorGridlines>
          <c:spPr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</c:spPr>
        </c:majorGridlines>
        <c:numFmt formatCode="mmm\-yy" sourceLinked="1"/>
        <c:majorTickMark val="out"/>
        <c:minorTickMark val="none"/>
        <c:tickLblPos val="nextTo"/>
        <c:txPr>
          <a:bodyPr rot="1800000"/>
          <a:lstStyle/>
          <a:p>
            <a:pPr>
              <a:defRPr sz="900" baseline="0">
                <a:latin typeface="Tw Cen MT" pitchFamily="34" charset="0"/>
              </a:defRPr>
            </a:pPr>
            <a:endParaRPr lang="pt-BR"/>
          </a:p>
        </c:txPr>
        <c:crossAx val="112589440"/>
        <c:crosses val="autoZero"/>
        <c:auto val="1"/>
        <c:lblOffset val="100"/>
        <c:baseTimeUnit val="months"/>
      </c:dateAx>
      <c:valAx>
        <c:axId val="112589440"/>
        <c:scaling>
          <c:orientation val="minMax"/>
          <c:max val="400000"/>
          <c:min val="10000"/>
        </c:scaling>
        <c:delete val="1"/>
        <c:axPos val="l"/>
        <c:numFmt formatCode="#,##0" sourceLinked="0"/>
        <c:majorTickMark val="out"/>
        <c:minorTickMark val="none"/>
        <c:tickLblPos val="nextTo"/>
        <c:crossAx val="112587904"/>
        <c:crosses val="autoZero"/>
        <c:crossBetween val="between"/>
        <c:majorUnit val="25000"/>
      </c:valAx>
      <c:valAx>
        <c:axId val="112619904"/>
        <c:scaling>
          <c:orientation val="minMax"/>
        </c:scaling>
        <c:delete val="1"/>
        <c:axPos val="r"/>
        <c:numFmt formatCode="#,##0" sourceLinked="1"/>
        <c:majorTickMark val="out"/>
        <c:minorTickMark val="none"/>
        <c:tickLblPos val="nextTo"/>
        <c:crossAx val="112621440"/>
        <c:crosses val="max"/>
        <c:crossBetween val="between"/>
      </c:valAx>
      <c:dateAx>
        <c:axId val="112621440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extTo"/>
        <c:crossAx val="112619904"/>
        <c:crosses val="autoZero"/>
        <c:auto val="1"/>
        <c:lblOffset val="100"/>
        <c:baseTimeUnit val="months"/>
      </c:dateAx>
    </c:plotArea>
    <c:legend>
      <c:legendPos val="r"/>
      <c:layout>
        <c:manualLayout>
          <c:xMode val="edge"/>
          <c:yMode val="edge"/>
          <c:x val="1.326619056338888E-2"/>
          <c:y val="0.74296944950655031"/>
          <c:w val="0.2570417280947796"/>
          <c:h val="0.10444691827314689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 baseline="0">
              <a:latin typeface="Tw Cen MT" pitchFamily="34" charset="0"/>
            </a:defRPr>
          </a:pPr>
          <a:endParaRPr lang="pt-BR"/>
        </a:p>
      </c:txPr>
    </c:legend>
    <c:plotVisOnly val="1"/>
    <c:dispBlanksAs val="zero"/>
    <c:showDLblsOverMax val="0"/>
  </c:chart>
  <c:spPr>
    <a:ln w="12700">
      <a:solidFill>
        <a:sysClr val="windowText" lastClr="000000"/>
      </a:solidFill>
    </a:ln>
  </c:spPr>
  <c:txPr>
    <a:bodyPr/>
    <a:lstStyle/>
    <a:p>
      <a:pPr>
        <a:defRPr b="1"/>
      </a:pPr>
      <a:endParaRPr lang="pt-BR"/>
    </a:p>
  </c:txPr>
  <c:printSettings>
    <c:headerFooter/>
    <c:pageMargins b="0.78740157499999996" l="0.511811024" r="0.511811024" t="0.78740157499999996" header="0.31496062000000208" footer="0.31496062000000208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723901</xdr:colOff>
      <xdr:row>1</xdr:row>
      <xdr:rowOff>28575</xdr:rowOff>
    </xdr:from>
    <xdr:to>
      <xdr:col>17</xdr:col>
      <xdr:colOff>563880</xdr:colOff>
      <xdr:row>19</xdr:row>
      <xdr:rowOff>57150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333375</xdr:colOff>
      <xdr:row>1</xdr:row>
      <xdr:rowOff>187318</xdr:rowOff>
    </xdr:from>
    <xdr:to>
      <xdr:col>17</xdr:col>
      <xdr:colOff>600075</xdr:colOff>
      <xdr:row>19</xdr:row>
      <xdr:rowOff>47625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F30"/>
  <sheetViews>
    <sheetView workbookViewId="0"/>
  </sheetViews>
  <sheetFormatPr defaultColWidth="9.109375" defaultRowHeight="13.8" x14ac:dyDescent="0.25"/>
  <cols>
    <col min="1" max="1" width="8.33203125" style="4" customWidth="1"/>
    <col min="2" max="2" width="21.5546875" style="4" customWidth="1"/>
    <col min="3" max="3" width="23.88671875" style="4" customWidth="1"/>
    <col min="4" max="4" width="27.44140625" style="4" customWidth="1"/>
    <col min="5" max="6" width="22.6640625" style="4" customWidth="1"/>
    <col min="7" max="16384" width="9.109375" style="4"/>
  </cols>
  <sheetData>
    <row r="3" spans="1:6" ht="14.4" thickBot="1" x14ac:dyDescent="0.3">
      <c r="F3" s="5"/>
    </row>
    <row r="4" spans="1:6" ht="27.75" customHeight="1" thickBot="1" x14ac:dyDescent="0.8">
      <c r="A4" s="6"/>
      <c r="B4" s="59" t="s">
        <v>20</v>
      </c>
      <c r="C4" s="60"/>
      <c r="D4" s="61"/>
      <c r="F4" s="7"/>
    </row>
    <row r="5" spans="1:6" ht="19.2" thickTop="1" thickBot="1" x14ac:dyDescent="0.4">
      <c r="A5" s="8"/>
      <c r="B5" s="31" t="s">
        <v>0</v>
      </c>
      <c r="C5" s="32" t="s">
        <v>17</v>
      </c>
      <c r="D5" s="33" t="s">
        <v>1</v>
      </c>
    </row>
    <row r="6" spans="1:6" ht="15.6" x14ac:dyDescent="0.3">
      <c r="B6" s="49">
        <v>2004</v>
      </c>
      <c r="C6" s="50">
        <v>550542.68999999994</v>
      </c>
      <c r="D6" s="48">
        <v>1885213</v>
      </c>
    </row>
    <row r="7" spans="1:6" ht="15.6" x14ac:dyDescent="0.3">
      <c r="B7" s="31">
        <v>2005</v>
      </c>
      <c r="C7" s="55">
        <v>641507.62</v>
      </c>
      <c r="D7" s="33">
        <v>2033879</v>
      </c>
    </row>
    <row r="8" spans="1:6" ht="15.6" x14ac:dyDescent="0.3">
      <c r="B8" s="28">
        <v>2006</v>
      </c>
      <c r="C8" s="54">
        <v>788563.39</v>
      </c>
      <c r="D8" s="30">
        <v>2251387</v>
      </c>
    </row>
    <row r="9" spans="1:6" ht="15.6" x14ac:dyDescent="0.3">
      <c r="B9" s="31">
        <v>2007</v>
      </c>
      <c r="C9" s="55">
        <v>789553.84</v>
      </c>
      <c r="D9" s="33">
        <v>2565741</v>
      </c>
    </row>
    <row r="10" spans="1:6" ht="15.6" x14ac:dyDescent="0.3">
      <c r="B10" s="28">
        <v>2008</v>
      </c>
      <c r="C10" s="54">
        <v>796761.3</v>
      </c>
      <c r="D10" s="30">
        <v>2494389</v>
      </c>
    </row>
    <row r="11" spans="1:6" ht="15.6" x14ac:dyDescent="0.3">
      <c r="B11" s="31">
        <v>2009</v>
      </c>
      <c r="C11" s="55">
        <v>786362.51</v>
      </c>
      <c r="D11" s="33">
        <v>2295659</v>
      </c>
    </row>
    <row r="12" spans="1:6" ht="15.6" x14ac:dyDescent="0.3">
      <c r="B12" s="28">
        <v>2010</v>
      </c>
      <c r="C12" s="54">
        <v>832816.11</v>
      </c>
      <c r="D12" s="30">
        <v>2400655</v>
      </c>
    </row>
    <row r="13" spans="1:6" ht="15.6" x14ac:dyDescent="0.3">
      <c r="B13" s="31">
        <v>2011</v>
      </c>
      <c r="C13" s="55">
        <v>920094.37</v>
      </c>
      <c r="D13" s="33">
        <v>2584064</v>
      </c>
    </row>
    <row r="14" spans="1:6" ht="15.6" x14ac:dyDescent="0.3">
      <c r="B14" s="28">
        <v>2012</v>
      </c>
      <c r="C14" s="54">
        <v>1078693.45</v>
      </c>
      <c r="D14" s="30">
        <v>2747465</v>
      </c>
    </row>
    <row r="15" spans="1:6" ht="15.6" x14ac:dyDescent="0.3">
      <c r="B15" s="31">
        <v>2013</v>
      </c>
      <c r="C15" s="55">
        <v>992413.73</v>
      </c>
      <c r="D15" s="33">
        <v>2892470</v>
      </c>
    </row>
    <row r="16" spans="1:6" ht="15.6" x14ac:dyDescent="0.3">
      <c r="B16" s="28">
        <v>2014</v>
      </c>
      <c r="C16" s="54">
        <v>713870.2</v>
      </c>
      <c r="D16" s="30">
        <v>2964480</v>
      </c>
    </row>
    <row r="17" spans="2:5" ht="15.6" x14ac:dyDescent="0.3">
      <c r="B17" s="31">
        <v>2015</v>
      </c>
      <c r="C17" s="55">
        <f>'2015'!C18</f>
        <v>1134464.3999999999</v>
      </c>
      <c r="D17" s="33">
        <f>'2015'!D18</f>
        <v>2821036</v>
      </c>
    </row>
    <row r="18" spans="2:5" ht="15.6" x14ac:dyDescent="0.3">
      <c r="B18" s="28">
        <v>2016</v>
      </c>
      <c r="C18" s="54">
        <v>1190277.9099999999</v>
      </c>
      <c r="D18" s="30">
        <v>2768759</v>
      </c>
    </row>
    <row r="19" spans="2:5" ht="15.6" x14ac:dyDescent="0.3">
      <c r="B19" s="31">
        <v>2017</v>
      </c>
      <c r="C19" s="55">
        <v>1073989.1499999999</v>
      </c>
      <c r="D19" s="33">
        <v>2961523</v>
      </c>
    </row>
    <row r="20" spans="2:5" ht="15.6" x14ac:dyDescent="0.3">
      <c r="B20" s="28">
        <v>2018</v>
      </c>
      <c r="C20" s="54">
        <v>1548822.87</v>
      </c>
      <c r="D20" s="30">
        <v>3193405.37</v>
      </c>
    </row>
    <row r="21" spans="2:5" ht="15.6" x14ac:dyDescent="0.25">
      <c r="B21" s="41">
        <v>2019</v>
      </c>
      <c r="C21" s="56">
        <f>'2019'!C18</f>
        <v>1556349</v>
      </c>
      <c r="D21" s="42">
        <f>'2019'!D18</f>
        <v>3184449</v>
      </c>
    </row>
    <row r="22" spans="2:5" ht="15.6" x14ac:dyDescent="0.25">
      <c r="B22" s="44">
        <v>2020</v>
      </c>
      <c r="C22" s="57">
        <f>'2020'!C18</f>
        <v>1113835.7699999998</v>
      </c>
      <c r="D22" s="45">
        <f>'2020'!D18</f>
        <v>2355824</v>
      </c>
    </row>
    <row r="23" spans="2:5" ht="15.6" x14ac:dyDescent="0.25">
      <c r="B23" s="41">
        <v>2021</v>
      </c>
      <c r="C23" s="56">
        <f>'2021'!C18</f>
        <v>1393672.32</v>
      </c>
      <c r="D23" s="42">
        <f>'2021'!D18</f>
        <v>2416864</v>
      </c>
    </row>
    <row r="24" spans="2:5" ht="15.6" x14ac:dyDescent="0.3">
      <c r="B24" s="28">
        <v>2022</v>
      </c>
      <c r="C24" s="54">
        <f>'2022'!C18</f>
        <v>1776239.04</v>
      </c>
      <c r="D24" s="30">
        <f>'2022'!D18</f>
        <v>2824223</v>
      </c>
    </row>
    <row r="25" spans="2:5" ht="16.2" thickBot="1" x14ac:dyDescent="0.35">
      <c r="B25" s="58">
        <v>2023</v>
      </c>
      <c r="C25" s="52">
        <f>'2023'!C18</f>
        <v>1725982.3599999999</v>
      </c>
      <c r="D25" s="53">
        <f>'2023'!D18</f>
        <v>3023783</v>
      </c>
    </row>
    <row r="29" spans="2:5" ht="14.4" x14ac:dyDescent="0.3">
      <c r="C29" s="12"/>
      <c r="D29" s="11"/>
      <c r="E29" s="13"/>
    </row>
    <row r="30" spans="2:5" ht="14.4" x14ac:dyDescent="0.3">
      <c r="C30" s="12"/>
      <c r="D30" s="11"/>
      <c r="E30" s="13"/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D19"/>
  <sheetViews>
    <sheetView workbookViewId="0"/>
  </sheetViews>
  <sheetFormatPr defaultRowHeight="14.4" x14ac:dyDescent="0.3"/>
  <cols>
    <col min="1" max="2" width="25.6640625" customWidth="1"/>
    <col min="3" max="3" width="22.6640625" customWidth="1"/>
    <col min="4" max="4" width="25.44140625" customWidth="1"/>
  </cols>
  <sheetData>
    <row r="1" spans="1:4" x14ac:dyDescent="0.3">
      <c r="A1" s="40"/>
    </row>
    <row r="3" spans="1:4" ht="15" thickBot="1" x14ac:dyDescent="0.35"/>
    <row r="4" spans="1:4" ht="22.5" customHeight="1" thickBot="1" x14ac:dyDescent="0.7">
      <c r="A4" s="2"/>
      <c r="B4" s="64" t="s">
        <v>20</v>
      </c>
      <c r="C4" s="65"/>
      <c r="D4" s="66"/>
    </row>
    <row r="5" spans="1:4" ht="18" x14ac:dyDescent="0.35">
      <c r="A5" s="3"/>
      <c r="B5" s="19" t="s">
        <v>2</v>
      </c>
      <c r="C5" s="20" t="s">
        <v>18</v>
      </c>
      <c r="D5" s="21" t="s">
        <v>3</v>
      </c>
    </row>
    <row r="6" spans="1:4" ht="15.6" x14ac:dyDescent="0.3">
      <c r="B6" s="31" t="s">
        <v>4</v>
      </c>
      <c r="C6" s="32">
        <v>118298.86</v>
      </c>
      <c r="D6" s="33">
        <f>18078+7+93+231821</f>
        <v>249999</v>
      </c>
    </row>
    <row r="7" spans="1:4" ht="15.6" x14ac:dyDescent="0.3">
      <c r="B7" s="28" t="s">
        <v>5</v>
      </c>
      <c r="C7" s="29">
        <v>125678.83</v>
      </c>
      <c r="D7" s="30">
        <f>20795+7+93+274236</f>
        <v>295131</v>
      </c>
    </row>
    <row r="8" spans="1:4" ht="15.6" x14ac:dyDescent="0.3">
      <c r="B8" s="31" t="s">
        <v>6</v>
      </c>
      <c r="C8" s="32">
        <v>146300.17000000001</v>
      </c>
      <c r="D8" s="33">
        <f>7+20189+93+266590</f>
        <v>286879</v>
      </c>
    </row>
    <row r="9" spans="1:4" ht="15.6" x14ac:dyDescent="0.3">
      <c r="B9" s="28" t="s">
        <v>7</v>
      </c>
      <c r="C9" s="29">
        <v>91219.86</v>
      </c>
      <c r="D9" s="30">
        <f>16400+99+170585</f>
        <v>187084</v>
      </c>
    </row>
    <row r="10" spans="1:4" ht="15.6" x14ac:dyDescent="0.3">
      <c r="B10" s="31" t="s">
        <v>8</v>
      </c>
      <c r="C10" s="32">
        <v>87941.68</v>
      </c>
      <c r="D10" s="33">
        <f>100+15628+176066</f>
        <v>191794</v>
      </c>
    </row>
    <row r="11" spans="1:4" ht="15.6" x14ac:dyDescent="0.3">
      <c r="B11" s="28" t="s">
        <v>9</v>
      </c>
      <c r="C11" s="29">
        <v>73345.929999999993</v>
      </c>
      <c r="D11" s="30">
        <f>13776+100+148333</f>
        <v>162209</v>
      </c>
    </row>
    <row r="12" spans="1:4" ht="15.6" x14ac:dyDescent="0.3">
      <c r="B12" s="31" t="s">
        <v>10</v>
      </c>
      <c r="C12" s="32">
        <v>82615.960000000006</v>
      </c>
      <c r="D12" s="33">
        <f>16483+91+164873+9</f>
        <v>181456</v>
      </c>
    </row>
    <row r="13" spans="1:4" ht="15.6" x14ac:dyDescent="0.3">
      <c r="B13" s="28" t="s">
        <v>11</v>
      </c>
      <c r="C13" s="29">
        <v>91220.98</v>
      </c>
      <c r="D13" s="30">
        <f>17702+9+91+184920</f>
        <v>202722</v>
      </c>
    </row>
    <row r="14" spans="1:4" ht="15.6" x14ac:dyDescent="0.3">
      <c r="B14" s="31" t="s">
        <v>12</v>
      </c>
      <c r="C14" s="32">
        <v>75026.12</v>
      </c>
      <c r="D14" s="33">
        <f>14192+100+150782</f>
        <v>165074</v>
      </c>
    </row>
    <row r="15" spans="1:4" ht="15.6" x14ac:dyDescent="0.3">
      <c r="B15" s="28" t="s">
        <v>13</v>
      </c>
      <c r="C15" s="29">
        <v>95024.29</v>
      </c>
      <c r="D15" s="30">
        <f>14190+100+159918</f>
        <v>174208</v>
      </c>
    </row>
    <row r="16" spans="1:4" ht="15.6" x14ac:dyDescent="0.3">
      <c r="B16" s="31" t="s">
        <v>14</v>
      </c>
      <c r="C16" s="32">
        <v>42980.3</v>
      </c>
      <c r="D16" s="33">
        <f>6483+100+79291</f>
        <v>85874</v>
      </c>
    </row>
    <row r="17" spans="2:4" ht="15.6" x14ac:dyDescent="0.3">
      <c r="B17" s="28" t="s">
        <v>15</v>
      </c>
      <c r="C17" s="29">
        <v>84182.79</v>
      </c>
      <c r="D17" s="30">
        <f>14499+100+158795</f>
        <v>173394</v>
      </c>
    </row>
    <row r="18" spans="2:4" ht="16.2" thickBot="1" x14ac:dyDescent="0.35">
      <c r="B18" s="16" t="s">
        <v>16</v>
      </c>
      <c r="C18" s="17">
        <f>SUM(C6:C17)</f>
        <v>1113835.7699999998</v>
      </c>
      <c r="D18" s="18">
        <f>SUM(D6:D17)</f>
        <v>2355824</v>
      </c>
    </row>
    <row r="19" spans="2:4" x14ac:dyDescent="0.3">
      <c r="C19" s="9"/>
      <c r="D19" s="9"/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E19"/>
  <sheetViews>
    <sheetView workbookViewId="0"/>
  </sheetViews>
  <sheetFormatPr defaultRowHeight="14.4" x14ac:dyDescent="0.3"/>
  <cols>
    <col min="1" max="2" width="25.6640625" customWidth="1"/>
    <col min="3" max="3" width="22.6640625" customWidth="1"/>
    <col min="4" max="4" width="25.44140625" customWidth="1"/>
  </cols>
  <sheetData>
    <row r="1" spans="1:5" x14ac:dyDescent="0.3">
      <c r="A1" s="40"/>
    </row>
    <row r="3" spans="1:5" ht="15" thickBot="1" x14ac:dyDescent="0.35"/>
    <row r="4" spans="1:5" ht="22.5" customHeight="1" thickBot="1" x14ac:dyDescent="0.7">
      <c r="A4" s="2"/>
      <c r="B4" s="64" t="s">
        <v>20</v>
      </c>
      <c r="C4" s="65"/>
      <c r="D4" s="66"/>
    </row>
    <row r="5" spans="1:5" ht="18" x14ac:dyDescent="0.35">
      <c r="A5" s="3"/>
      <c r="B5" s="19" t="s">
        <v>2</v>
      </c>
      <c r="C5" s="20" t="s">
        <v>18</v>
      </c>
      <c r="D5" s="21" t="s">
        <v>3</v>
      </c>
    </row>
    <row r="6" spans="1:5" ht="15.6" x14ac:dyDescent="0.3">
      <c r="B6" s="31" t="s">
        <v>4</v>
      </c>
      <c r="C6" s="32">
        <v>119486.63</v>
      </c>
      <c r="D6" s="33">
        <f>17945+100+188913</f>
        <v>206958</v>
      </c>
    </row>
    <row r="7" spans="1:5" ht="15.6" x14ac:dyDescent="0.3">
      <c r="B7" s="28" t="s">
        <v>5</v>
      </c>
      <c r="C7" s="29">
        <v>110676.89</v>
      </c>
      <c r="D7" s="30">
        <f>15601+100+198597</f>
        <v>214298</v>
      </c>
    </row>
    <row r="8" spans="1:5" ht="15.6" x14ac:dyDescent="0.3">
      <c r="B8" s="31" t="s">
        <v>6</v>
      </c>
      <c r="C8" s="32">
        <v>103461.11</v>
      </c>
      <c r="D8" s="33">
        <f>15899+100+183227</f>
        <v>199226</v>
      </c>
    </row>
    <row r="9" spans="1:5" ht="15.6" x14ac:dyDescent="0.3">
      <c r="B9" s="28" t="s">
        <v>7</v>
      </c>
      <c r="C9" s="29">
        <v>110419.14</v>
      </c>
      <c r="D9" s="30">
        <f>18671+100+193436</f>
        <v>212207</v>
      </c>
    </row>
    <row r="10" spans="1:5" ht="15.6" x14ac:dyDescent="0.3">
      <c r="B10" s="31" t="s">
        <v>8</v>
      </c>
      <c r="C10" s="32">
        <v>99050.31</v>
      </c>
      <c r="D10" s="33">
        <f>16311+100+182915</f>
        <v>199326</v>
      </c>
    </row>
    <row r="11" spans="1:5" ht="15.6" x14ac:dyDescent="0.3">
      <c r="B11" s="28" t="s">
        <v>9</v>
      </c>
      <c r="C11" s="29">
        <v>100676.66</v>
      </c>
      <c r="D11" s="43">
        <f>181488+100+16226</f>
        <v>197814</v>
      </c>
      <c r="E11" s="37"/>
    </row>
    <row r="12" spans="1:5" ht="15.6" x14ac:dyDescent="0.3">
      <c r="B12" s="31" t="s">
        <v>10</v>
      </c>
      <c r="C12" s="32">
        <v>101779.92</v>
      </c>
      <c r="D12" s="33">
        <f>177999+100+16289</f>
        <v>194388</v>
      </c>
    </row>
    <row r="13" spans="1:5" ht="15.6" x14ac:dyDescent="0.3">
      <c r="B13" s="28" t="s">
        <v>11</v>
      </c>
      <c r="C13" s="29">
        <v>110964.28</v>
      </c>
      <c r="D13" s="30">
        <f>16709+100+179764</f>
        <v>196573</v>
      </c>
    </row>
    <row r="14" spans="1:5" ht="15.6" x14ac:dyDescent="0.3">
      <c r="B14" s="31" t="s">
        <v>12</v>
      </c>
      <c r="C14" s="32">
        <v>115190.38</v>
      </c>
      <c r="D14" s="33">
        <f>100+16814+182800</f>
        <v>199714</v>
      </c>
    </row>
    <row r="15" spans="1:5" ht="15.6" x14ac:dyDescent="0.3">
      <c r="B15" s="28" t="s">
        <v>13</v>
      </c>
      <c r="C15" s="29">
        <v>160671.54</v>
      </c>
      <c r="D15" s="30">
        <f>100+15859+171398</f>
        <v>187357</v>
      </c>
    </row>
    <row r="16" spans="1:5" ht="15.6" x14ac:dyDescent="0.3">
      <c r="B16" s="31" t="s">
        <v>14</v>
      </c>
      <c r="C16" s="32">
        <v>122317.02</v>
      </c>
      <c r="D16" s="33">
        <f>100+14977+183467</f>
        <v>198544</v>
      </c>
    </row>
    <row r="17" spans="2:4" ht="15.6" x14ac:dyDescent="0.3">
      <c r="B17" s="28" t="s">
        <v>15</v>
      </c>
      <c r="C17" s="29">
        <v>138978.44</v>
      </c>
      <c r="D17" s="30">
        <f>15716+194643+100</f>
        <v>210459</v>
      </c>
    </row>
    <row r="18" spans="2:4" ht="16.2" thickBot="1" x14ac:dyDescent="0.35">
      <c r="B18" s="16" t="s">
        <v>16</v>
      </c>
      <c r="C18" s="17">
        <f>SUM(C6:C17)</f>
        <v>1393672.32</v>
      </c>
      <c r="D18" s="18">
        <f>SUM(D6:D17)</f>
        <v>2416864</v>
      </c>
    </row>
    <row r="19" spans="2:4" x14ac:dyDescent="0.3">
      <c r="C19" s="9"/>
      <c r="D19" s="9"/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19"/>
  <sheetViews>
    <sheetView workbookViewId="0"/>
  </sheetViews>
  <sheetFormatPr defaultRowHeight="14.4" x14ac:dyDescent="0.3"/>
  <cols>
    <col min="1" max="2" width="25.6640625" customWidth="1"/>
    <col min="3" max="3" width="22.6640625" customWidth="1"/>
    <col min="4" max="4" width="25.44140625" customWidth="1"/>
  </cols>
  <sheetData>
    <row r="1" spans="1:5" x14ac:dyDescent="0.3">
      <c r="A1" s="40"/>
    </row>
    <row r="3" spans="1:5" ht="15" thickBot="1" x14ac:dyDescent="0.35"/>
    <row r="4" spans="1:5" ht="22.5" customHeight="1" thickBot="1" x14ac:dyDescent="0.7">
      <c r="A4" s="2"/>
      <c r="B4" s="64" t="s">
        <v>20</v>
      </c>
      <c r="C4" s="65"/>
      <c r="D4" s="66"/>
    </row>
    <row r="5" spans="1:5" ht="18" x14ac:dyDescent="0.35">
      <c r="A5" s="3"/>
      <c r="B5" s="19" t="s">
        <v>2</v>
      </c>
      <c r="C5" s="20" t="s">
        <v>18</v>
      </c>
      <c r="D5" s="21" t="s">
        <v>3</v>
      </c>
    </row>
    <row r="6" spans="1:5" ht="15.6" x14ac:dyDescent="0.3">
      <c r="B6" s="31" t="s">
        <v>4</v>
      </c>
      <c r="C6" s="32">
        <v>146957.54</v>
      </c>
      <c r="D6" s="33">
        <f>17434+188133+100</f>
        <v>205667</v>
      </c>
    </row>
    <row r="7" spans="1:5" ht="15.6" x14ac:dyDescent="0.3">
      <c r="B7" s="28" t="s">
        <v>5</v>
      </c>
      <c r="C7" s="29">
        <v>166407.47</v>
      </c>
      <c r="D7" s="30">
        <f>17869+100+218724</f>
        <v>236693</v>
      </c>
    </row>
    <row r="8" spans="1:5" ht="15.6" x14ac:dyDescent="0.3">
      <c r="B8" s="31" t="s">
        <v>6</v>
      </c>
      <c r="C8" s="32">
        <v>156539.24</v>
      </c>
      <c r="D8" s="33">
        <f>16333+100+198906</f>
        <v>215339</v>
      </c>
    </row>
    <row r="9" spans="1:5" ht="15.6" x14ac:dyDescent="0.3">
      <c r="B9" s="28" t="s">
        <v>7</v>
      </c>
      <c r="C9" s="29">
        <v>172890.22</v>
      </c>
      <c r="D9" s="30">
        <f>8+18962+92+216761</f>
        <v>235823</v>
      </c>
    </row>
    <row r="10" spans="1:5" ht="15.6" x14ac:dyDescent="0.3">
      <c r="B10" s="31" t="s">
        <v>8</v>
      </c>
      <c r="C10" s="32">
        <v>133267</v>
      </c>
      <c r="D10" s="33">
        <f>7+15149+93+192314</f>
        <v>207563</v>
      </c>
    </row>
    <row r="11" spans="1:5" ht="15.6" x14ac:dyDescent="0.3">
      <c r="B11" s="28" t="s">
        <v>9</v>
      </c>
      <c r="C11" s="29">
        <v>124219.27</v>
      </c>
      <c r="D11" s="43">
        <f>8+17022+92+198782</f>
        <v>215904</v>
      </c>
      <c r="E11" s="37"/>
    </row>
    <row r="12" spans="1:5" ht="15.6" x14ac:dyDescent="0.3">
      <c r="B12" s="31" t="s">
        <v>10</v>
      </c>
      <c r="C12" s="32">
        <v>140884.09</v>
      </c>
      <c r="D12" s="33">
        <f>7+17825+93+234040</f>
        <v>251965</v>
      </c>
    </row>
    <row r="13" spans="1:5" ht="15.6" x14ac:dyDescent="0.3">
      <c r="B13" s="28" t="s">
        <v>11</v>
      </c>
      <c r="C13" s="29">
        <v>131591.98000000001</v>
      </c>
      <c r="D13" s="30">
        <f>7+16889+93+222250</f>
        <v>239239</v>
      </c>
    </row>
    <row r="14" spans="1:5" ht="15.6" x14ac:dyDescent="0.3">
      <c r="B14" s="31" t="s">
        <v>12</v>
      </c>
      <c r="C14" s="32">
        <v>149021.07</v>
      </c>
      <c r="D14" s="33">
        <f>7+19969+93+255492</f>
        <v>275561</v>
      </c>
    </row>
    <row r="15" spans="1:5" ht="15.6" x14ac:dyDescent="0.3">
      <c r="B15" s="28" t="s">
        <v>13</v>
      </c>
      <c r="C15" s="29">
        <v>166507.71</v>
      </c>
      <c r="D15" s="30">
        <f>7+17729+93+221897</f>
        <v>239726</v>
      </c>
    </row>
    <row r="16" spans="1:5" ht="15.6" x14ac:dyDescent="0.3">
      <c r="B16" s="31" t="s">
        <v>14</v>
      </c>
      <c r="C16" s="32">
        <v>136151.76999999999</v>
      </c>
      <c r="D16" s="33">
        <f>7+17212+93+225171</f>
        <v>242483</v>
      </c>
    </row>
    <row r="17" spans="2:4" ht="15.6" x14ac:dyDescent="0.3">
      <c r="B17" s="28" t="s">
        <v>15</v>
      </c>
      <c r="C17" s="29">
        <v>151801.68</v>
      </c>
      <c r="D17" s="30">
        <f>7+17701+93+240459</f>
        <v>258260</v>
      </c>
    </row>
    <row r="18" spans="2:4" ht="16.2" thickBot="1" x14ac:dyDescent="0.35">
      <c r="B18" s="16" t="s">
        <v>16</v>
      </c>
      <c r="C18" s="17">
        <f>SUM(C6:C17)</f>
        <v>1776239.04</v>
      </c>
      <c r="D18" s="18">
        <f>SUM(D6:D17)</f>
        <v>2824223</v>
      </c>
    </row>
    <row r="19" spans="2:4" x14ac:dyDescent="0.3">
      <c r="C19" s="9"/>
      <c r="D19" s="9"/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E19"/>
  <sheetViews>
    <sheetView workbookViewId="0"/>
  </sheetViews>
  <sheetFormatPr defaultRowHeight="14.4" x14ac:dyDescent="0.3"/>
  <cols>
    <col min="1" max="2" width="25.6640625" customWidth="1"/>
    <col min="3" max="3" width="22.6640625" customWidth="1"/>
    <col min="4" max="4" width="25.44140625" customWidth="1"/>
  </cols>
  <sheetData>
    <row r="1" spans="1:5" x14ac:dyDescent="0.3">
      <c r="A1" s="40"/>
    </row>
    <row r="3" spans="1:5" ht="15" thickBot="1" x14ac:dyDescent="0.35"/>
    <row r="4" spans="1:5" ht="22.5" customHeight="1" thickBot="1" x14ac:dyDescent="0.7">
      <c r="A4" s="2"/>
      <c r="B4" s="64" t="s">
        <v>20</v>
      </c>
      <c r="C4" s="65"/>
      <c r="D4" s="66"/>
    </row>
    <row r="5" spans="1:5" ht="18" x14ac:dyDescent="0.35">
      <c r="A5" s="3"/>
      <c r="B5" s="19" t="s">
        <v>2</v>
      </c>
      <c r="C5" s="20" t="s">
        <v>18</v>
      </c>
      <c r="D5" s="21" t="s">
        <v>3</v>
      </c>
    </row>
    <row r="6" spans="1:5" ht="15.6" x14ac:dyDescent="0.3">
      <c r="B6" s="31" t="s">
        <v>4</v>
      </c>
      <c r="C6" s="32">
        <v>161626.39000000001</v>
      </c>
      <c r="D6" s="33">
        <f>7+18846+93+233942</f>
        <v>252888</v>
      </c>
    </row>
    <row r="7" spans="1:5" ht="15.6" x14ac:dyDescent="0.3">
      <c r="B7" s="28" t="s">
        <v>5</v>
      </c>
      <c r="C7" s="29">
        <v>171179.12</v>
      </c>
      <c r="D7" s="30">
        <f>7+19567+93+250660</f>
        <v>270327</v>
      </c>
    </row>
    <row r="8" spans="1:5" ht="15.6" x14ac:dyDescent="0.3">
      <c r="B8" s="31" t="s">
        <v>6</v>
      </c>
      <c r="C8" s="32">
        <v>167244.35</v>
      </c>
      <c r="D8" s="33">
        <f>6+17314+94+249672</f>
        <v>267086</v>
      </c>
    </row>
    <row r="9" spans="1:5" ht="15.6" x14ac:dyDescent="0.3">
      <c r="B9" s="28" t="s">
        <v>7</v>
      </c>
      <c r="C9" s="29">
        <v>197451.2</v>
      </c>
      <c r="D9" s="30">
        <f>6+21601+94+323341</f>
        <v>345042</v>
      </c>
    </row>
    <row r="10" spans="1:5" ht="15.6" x14ac:dyDescent="0.3">
      <c r="B10" s="31" t="s">
        <v>8</v>
      </c>
      <c r="C10" s="32">
        <v>133028.53</v>
      </c>
      <c r="D10" s="33">
        <f>6+14566+94+211550</f>
        <v>226216</v>
      </c>
    </row>
    <row r="11" spans="1:5" ht="15.6" x14ac:dyDescent="0.3">
      <c r="B11" s="28" t="s">
        <v>9</v>
      </c>
      <c r="C11" s="29">
        <v>125246.79</v>
      </c>
      <c r="D11" s="43">
        <f>8+17324+208609+92</f>
        <v>226033</v>
      </c>
      <c r="E11" s="37"/>
    </row>
    <row r="12" spans="1:5" ht="15.6" x14ac:dyDescent="0.3">
      <c r="B12" s="31" t="s">
        <v>10</v>
      </c>
      <c r="C12" s="32">
        <v>139109.37</v>
      </c>
      <c r="D12" s="33">
        <f>7+16703+93+223566</f>
        <v>240369</v>
      </c>
    </row>
    <row r="13" spans="1:5" ht="15.6" x14ac:dyDescent="0.3">
      <c r="B13" s="28" t="s">
        <v>11</v>
      </c>
      <c r="C13" s="29">
        <v>143512.1</v>
      </c>
      <c r="D13" s="30">
        <f>6+15615+94+230121</f>
        <v>245836</v>
      </c>
    </row>
    <row r="14" spans="1:5" ht="15.6" x14ac:dyDescent="0.3">
      <c r="B14" s="31" t="s">
        <v>12</v>
      </c>
      <c r="C14" s="32">
        <v>145386.20000000001</v>
      </c>
      <c r="D14" s="33">
        <f>8+19079+92+235138</f>
        <v>254317</v>
      </c>
    </row>
    <row r="15" spans="1:5" ht="15.6" x14ac:dyDescent="0.3">
      <c r="B15" s="28" t="s">
        <v>13</v>
      </c>
      <c r="C15" s="29">
        <v>119661.68</v>
      </c>
      <c r="D15" s="30">
        <f>6+13520+94+209110</f>
        <v>222730</v>
      </c>
    </row>
    <row r="16" spans="1:5" ht="15.6" x14ac:dyDescent="0.3">
      <c r="B16" s="31" t="s">
        <v>14</v>
      </c>
      <c r="C16" s="32">
        <v>133068.65</v>
      </c>
      <c r="D16" s="33">
        <f>8+17820+92+213941</f>
        <v>231861</v>
      </c>
    </row>
    <row r="17" spans="2:4" ht="15.6" x14ac:dyDescent="0.3">
      <c r="B17" s="28" t="s">
        <v>15</v>
      </c>
      <c r="C17" s="29">
        <v>89467.98</v>
      </c>
      <c r="D17" s="30">
        <f>7+17702+93+223276</f>
        <v>241078</v>
      </c>
    </row>
    <row r="18" spans="2:4" ht="16.2" thickBot="1" x14ac:dyDescent="0.35">
      <c r="B18" s="16" t="s">
        <v>16</v>
      </c>
      <c r="C18" s="17">
        <f>SUM(C6:C17)</f>
        <v>1725982.3599999999</v>
      </c>
      <c r="D18" s="18">
        <f>SUM(D6:D17)</f>
        <v>3023783</v>
      </c>
    </row>
    <row r="19" spans="2:4" x14ac:dyDescent="0.3">
      <c r="C19" s="9"/>
      <c r="D19" s="9"/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98C0FC-96F4-47F6-997B-423BCEBE2968}">
  <dimension ref="A1:E19"/>
  <sheetViews>
    <sheetView workbookViewId="0"/>
  </sheetViews>
  <sheetFormatPr defaultRowHeight="14.4" x14ac:dyDescent="0.3"/>
  <cols>
    <col min="1" max="2" width="25.6640625" customWidth="1"/>
    <col min="3" max="3" width="22.6640625" customWidth="1"/>
    <col min="4" max="4" width="25.44140625" customWidth="1"/>
  </cols>
  <sheetData>
    <row r="1" spans="1:5" x14ac:dyDescent="0.3">
      <c r="A1" s="40"/>
    </row>
    <row r="3" spans="1:5" ht="15" thickBot="1" x14ac:dyDescent="0.35"/>
    <row r="4" spans="1:5" ht="22.5" customHeight="1" thickBot="1" x14ac:dyDescent="0.7">
      <c r="A4" s="2"/>
      <c r="B4" s="64" t="s">
        <v>20</v>
      </c>
      <c r="C4" s="65"/>
      <c r="D4" s="66"/>
    </row>
    <row r="5" spans="1:5" ht="18" x14ac:dyDescent="0.35">
      <c r="A5" s="3"/>
      <c r="B5" s="19" t="s">
        <v>2</v>
      </c>
      <c r="C5" s="20" t="s">
        <v>18</v>
      </c>
      <c r="D5" s="21" t="s">
        <v>3</v>
      </c>
    </row>
    <row r="6" spans="1:5" ht="15.6" x14ac:dyDescent="0.3">
      <c r="B6" s="31" t="s">
        <v>4</v>
      </c>
      <c r="C6" s="32">
        <v>146267.97</v>
      </c>
      <c r="D6" s="33">
        <f>7+16625+93+225315</f>
        <v>242040</v>
      </c>
    </row>
    <row r="7" spans="1:5" ht="15.6" x14ac:dyDescent="0.3">
      <c r="B7" s="28" t="s">
        <v>5</v>
      </c>
      <c r="C7" s="29">
        <v>145157.01999999999</v>
      </c>
      <c r="D7" s="30">
        <f>8+18083+92+221786</f>
        <v>239969</v>
      </c>
    </row>
    <row r="8" spans="1:5" ht="15.6" x14ac:dyDescent="0.3">
      <c r="B8" s="31" t="s">
        <v>6</v>
      </c>
      <c r="C8" s="32">
        <v>175336</v>
      </c>
      <c r="D8" s="33">
        <f>6+18495+94+268351</f>
        <v>286946</v>
      </c>
    </row>
    <row r="9" spans="1:5" ht="15.6" x14ac:dyDescent="0.3">
      <c r="B9" s="28" t="s">
        <v>7</v>
      </c>
      <c r="C9" s="29"/>
      <c r="D9" s="30"/>
    </row>
    <row r="10" spans="1:5" ht="15.6" x14ac:dyDescent="0.3">
      <c r="B10" s="31" t="s">
        <v>8</v>
      </c>
      <c r="C10" s="32"/>
      <c r="D10" s="33"/>
    </row>
    <row r="11" spans="1:5" ht="15.6" x14ac:dyDescent="0.3">
      <c r="B11" s="28" t="s">
        <v>9</v>
      </c>
      <c r="C11" s="29"/>
      <c r="D11" s="43"/>
      <c r="E11" s="37"/>
    </row>
    <row r="12" spans="1:5" ht="15.6" x14ac:dyDescent="0.3">
      <c r="B12" s="31" t="s">
        <v>10</v>
      </c>
      <c r="C12" s="32"/>
      <c r="D12" s="33"/>
    </row>
    <row r="13" spans="1:5" ht="15.6" x14ac:dyDescent="0.3">
      <c r="B13" s="28" t="s">
        <v>11</v>
      </c>
      <c r="C13" s="29"/>
      <c r="D13" s="30"/>
    </row>
    <row r="14" spans="1:5" ht="15.6" x14ac:dyDescent="0.3">
      <c r="B14" s="31" t="s">
        <v>12</v>
      </c>
      <c r="C14" s="32"/>
      <c r="D14" s="33"/>
    </row>
    <row r="15" spans="1:5" ht="15.6" x14ac:dyDescent="0.3">
      <c r="B15" s="28" t="s">
        <v>13</v>
      </c>
      <c r="C15" s="29"/>
      <c r="D15" s="30"/>
    </row>
    <row r="16" spans="1:5" ht="15.6" x14ac:dyDescent="0.3">
      <c r="B16" s="31" t="s">
        <v>14</v>
      </c>
      <c r="C16" s="32"/>
      <c r="D16" s="33"/>
    </row>
    <row r="17" spans="2:4" ht="15.6" x14ac:dyDescent="0.3">
      <c r="B17" s="28" t="s">
        <v>15</v>
      </c>
      <c r="C17" s="29"/>
      <c r="D17" s="30"/>
    </row>
    <row r="18" spans="2:4" ht="16.2" thickBot="1" x14ac:dyDescent="0.35">
      <c r="B18" s="16" t="s">
        <v>16</v>
      </c>
      <c r="C18" s="17">
        <f>SUM(C6:C17)</f>
        <v>466760.99</v>
      </c>
      <c r="D18" s="18">
        <f>SUM(D6:D17)</f>
        <v>768955</v>
      </c>
    </row>
    <row r="19" spans="2:4" x14ac:dyDescent="0.3">
      <c r="C19" s="9"/>
      <c r="D19" s="9"/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D17"/>
  <sheetViews>
    <sheetView tabSelected="1" workbookViewId="0"/>
  </sheetViews>
  <sheetFormatPr defaultRowHeight="14.4" x14ac:dyDescent="0.3"/>
  <cols>
    <col min="1" max="2" width="25.6640625" customWidth="1"/>
    <col min="3" max="3" width="22.6640625" customWidth="1"/>
    <col min="4" max="4" width="25.44140625" customWidth="1"/>
  </cols>
  <sheetData>
    <row r="1" spans="1:4" x14ac:dyDescent="0.3">
      <c r="A1" s="1"/>
    </row>
    <row r="3" spans="1:4" ht="15" thickBot="1" x14ac:dyDescent="0.35"/>
    <row r="4" spans="1:4" ht="22.5" customHeight="1" thickBot="1" x14ac:dyDescent="0.7">
      <c r="A4" s="2"/>
      <c r="B4" s="59" t="s">
        <v>20</v>
      </c>
      <c r="C4" s="62"/>
      <c r="D4" s="63"/>
    </row>
    <row r="5" spans="1:4" ht="18.600000000000001" thickTop="1" x14ac:dyDescent="0.35">
      <c r="A5" s="3"/>
      <c r="B5" s="22" t="s">
        <v>2</v>
      </c>
      <c r="C5" s="67" t="s">
        <v>18</v>
      </c>
      <c r="D5" s="51" t="s">
        <v>3</v>
      </c>
    </row>
    <row r="6" spans="1:4" ht="15.6" x14ac:dyDescent="0.3">
      <c r="B6" s="46">
        <v>45017</v>
      </c>
      <c r="C6" s="68">
        <v>197451.2</v>
      </c>
      <c r="D6" s="30">
        <f>6+21601+94+323341</f>
        <v>345042</v>
      </c>
    </row>
    <row r="7" spans="1:4" ht="15.6" x14ac:dyDescent="0.3">
      <c r="B7" s="47">
        <v>45047</v>
      </c>
      <c r="C7" s="69">
        <v>133028.53</v>
      </c>
      <c r="D7" s="33">
        <f>6+14566+94+211550</f>
        <v>226216</v>
      </c>
    </row>
    <row r="8" spans="1:4" ht="15.6" x14ac:dyDescent="0.3">
      <c r="B8" s="46">
        <v>45078</v>
      </c>
      <c r="C8" s="68">
        <v>125246.79</v>
      </c>
      <c r="D8" s="30">
        <f>8+17324+208609+92</f>
        <v>226033</v>
      </c>
    </row>
    <row r="9" spans="1:4" ht="15.6" x14ac:dyDescent="0.3">
      <c r="B9" s="47">
        <v>45108</v>
      </c>
      <c r="C9" s="69">
        <v>139109.37</v>
      </c>
      <c r="D9" s="33">
        <f>7+16703+93+223566</f>
        <v>240369</v>
      </c>
    </row>
    <row r="10" spans="1:4" ht="15.6" x14ac:dyDescent="0.3">
      <c r="B10" s="46">
        <v>45139</v>
      </c>
      <c r="C10" s="68">
        <v>143512.1</v>
      </c>
      <c r="D10" s="30">
        <f>6+15615+94+230121</f>
        <v>245836</v>
      </c>
    </row>
    <row r="11" spans="1:4" ht="15.6" x14ac:dyDescent="0.3">
      <c r="B11" s="47">
        <v>45170</v>
      </c>
      <c r="C11" s="69">
        <v>145386.20000000001</v>
      </c>
      <c r="D11" s="33">
        <f>8+19079+92+235138</f>
        <v>254317</v>
      </c>
    </row>
    <row r="12" spans="1:4" ht="15.6" x14ac:dyDescent="0.3">
      <c r="B12" s="46">
        <v>45200</v>
      </c>
      <c r="C12" s="68">
        <v>119661.68</v>
      </c>
      <c r="D12" s="30">
        <f>6+13520+94+209110</f>
        <v>222730</v>
      </c>
    </row>
    <row r="13" spans="1:4" ht="15.6" x14ac:dyDescent="0.3">
      <c r="B13" s="47">
        <v>45231</v>
      </c>
      <c r="C13" s="69">
        <v>133068.65</v>
      </c>
      <c r="D13" s="33">
        <f>8+17820+92+213941</f>
        <v>231861</v>
      </c>
    </row>
    <row r="14" spans="1:4" ht="15.6" x14ac:dyDescent="0.3">
      <c r="B14" s="46">
        <v>45261</v>
      </c>
      <c r="C14" s="68">
        <v>89467.98</v>
      </c>
      <c r="D14" s="30">
        <f>7+17702+93+223276</f>
        <v>241078</v>
      </c>
    </row>
    <row r="15" spans="1:4" ht="15.6" x14ac:dyDescent="0.3">
      <c r="B15" s="47">
        <v>45292</v>
      </c>
      <c r="C15" s="69">
        <v>146267.97</v>
      </c>
      <c r="D15" s="33">
        <f>7+16625+93+225315</f>
        <v>242040</v>
      </c>
    </row>
    <row r="16" spans="1:4" ht="15.6" x14ac:dyDescent="0.3">
      <c r="B16" s="46">
        <v>45323</v>
      </c>
      <c r="C16" s="68">
        <v>145157.01999999999</v>
      </c>
      <c r="D16" s="30">
        <f>8+18083+92+221786</f>
        <v>239969</v>
      </c>
    </row>
    <row r="17" spans="2:4" ht="16.2" thickBot="1" x14ac:dyDescent="0.35">
      <c r="B17" s="70">
        <v>45352</v>
      </c>
      <c r="C17" s="52">
        <v>175336</v>
      </c>
      <c r="D17" s="53">
        <f>6+18495+94+268351</f>
        <v>286946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9"/>
  <sheetViews>
    <sheetView workbookViewId="0"/>
  </sheetViews>
  <sheetFormatPr defaultRowHeight="14.4" x14ac:dyDescent="0.3"/>
  <cols>
    <col min="1" max="2" width="25.6640625" customWidth="1"/>
    <col min="3" max="3" width="22.6640625" customWidth="1"/>
    <col min="4" max="4" width="25.44140625" customWidth="1"/>
  </cols>
  <sheetData>
    <row r="1" spans="1:4" x14ac:dyDescent="0.3">
      <c r="A1" s="1"/>
    </row>
    <row r="3" spans="1:4" ht="15" thickBot="1" x14ac:dyDescent="0.35"/>
    <row r="4" spans="1:4" ht="22.5" customHeight="1" thickBot="1" x14ac:dyDescent="0.7">
      <c r="A4" s="2"/>
      <c r="B4" s="59" t="s">
        <v>20</v>
      </c>
      <c r="C4" s="62"/>
      <c r="D4" s="63"/>
    </row>
    <row r="5" spans="1:4" ht="18.600000000000001" thickTop="1" x14ac:dyDescent="0.35">
      <c r="A5" s="3"/>
      <c r="B5" s="25" t="s">
        <v>2</v>
      </c>
      <c r="C5" s="26" t="s">
        <v>18</v>
      </c>
      <c r="D5" s="27" t="s">
        <v>3</v>
      </c>
    </row>
    <row r="6" spans="1:4" ht="15.6" x14ac:dyDescent="0.3">
      <c r="B6" s="28" t="s">
        <v>4</v>
      </c>
      <c r="C6" s="29">
        <v>87558.52</v>
      </c>
      <c r="D6" s="30">
        <v>190591</v>
      </c>
    </row>
    <row r="7" spans="1:4" ht="15.6" x14ac:dyDescent="0.3">
      <c r="B7" s="31" t="s">
        <v>5</v>
      </c>
      <c r="C7" s="32">
        <v>89536.82</v>
      </c>
      <c r="D7" s="33">
        <v>213180</v>
      </c>
    </row>
    <row r="8" spans="1:4" ht="15.6" x14ac:dyDescent="0.3">
      <c r="B8" s="28" t="s">
        <v>6</v>
      </c>
      <c r="C8" s="29">
        <v>113687.58</v>
      </c>
      <c r="D8" s="30">
        <v>260215</v>
      </c>
    </row>
    <row r="9" spans="1:4" ht="15.6" x14ac:dyDescent="0.3">
      <c r="B9" s="31" t="s">
        <v>7</v>
      </c>
      <c r="C9" s="32">
        <v>90728.58</v>
      </c>
      <c r="D9" s="33">
        <v>225990</v>
      </c>
    </row>
    <row r="10" spans="1:4" ht="15.6" x14ac:dyDescent="0.3">
      <c r="B10" s="28" t="s">
        <v>8</v>
      </c>
      <c r="C10" s="29">
        <v>81368.94</v>
      </c>
      <c r="D10" s="30">
        <v>214443</v>
      </c>
    </row>
    <row r="11" spans="1:4" ht="15.6" x14ac:dyDescent="0.3">
      <c r="B11" s="31" t="s">
        <v>9</v>
      </c>
      <c r="C11" s="32">
        <v>89048.3</v>
      </c>
      <c r="D11" s="33">
        <v>238183</v>
      </c>
    </row>
    <row r="12" spans="1:4" ht="15.6" x14ac:dyDescent="0.3">
      <c r="B12" s="28" t="s">
        <v>10</v>
      </c>
      <c r="C12" s="29">
        <v>90256.42</v>
      </c>
      <c r="D12" s="30">
        <v>241868</v>
      </c>
    </row>
    <row r="13" spans="1:4" ht="15.6" x14ac:dyDescent="0.3">
      <c r="B13" s="31" t="s">
        <v>11</v>
      </c>
      <c r="C13" s="32">
        <v>82686.320000000007</v>
      </c>
      <c r="D13" s="33">
        <v>220170</v>
      </c>
    </row>
    <row r="14" spans="1:4" ht="15.6" x14ac:dyDescent="0.3">
      <c r="B14" s="28" t="s">
        <v>12</v>
      </c>
      <c r="C14" s="29">
        <v>81384.98</v>
      </c>
      <c r="D14" s="30">
        <v>215791</v>
      </c>
    </row>
    <row r="15" spans="1:4" ht="15.6" x14ac:dyDescent="0.3">
      <c r="B15" s="31" t="s">
        <v>13</v>
      </c>
      <c r="C15" s="32">
        <v>80595.16</v>
      </c>
      <c r="D15" s="33">
        <v>212714</v>
      </c>
    </row>
    <row r="16" spans="1:4" ht="15.6" x14ac:dyDescent="0.3">
      <c r="B16" s="28" t="s">
        <v>14</v>
      </c>
      <c r="C16" s="29">
        <v>92430.92</v>
      </c>
      <c r="D16" s="30">
        <v>243153</v>
      </c>
    </row>
    <row r="17" spans="2:4" ht="15.6" x14ac:dyDescent="0.3">
      <c r="B17" s="31" t="s">
        <v>15</v>
      </c>
      <c r="C17" s="32">
        <v>99410.91</v>
      </c>
      <c r="D17" s="33">
        <v>255806</v>
      </c>
    </row>
    <row r="18" spans="2:4" ht="16.2" thickBot="1" x14ac:dyDescent="0.35">
      <c r="B18" s="16" t="s">
        <v>16</v>
      </c>
      <c r="C18" s="17">
        <v>1078693.45</v>
      </c>
      <c r="D18" s="18">
        <v>193040</v>
      </c>
    </row>
    <row r="19" spans="2:4" x14ac:dyDescent="0.3">
      <c r="C19" s="9"/>
      <c r="D19" s="9"/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19"/>
  <sheetViews>
    <sheetView workbookViewId="0"/>
  </sheetViews>
  <sheetFormatPr defaultRowHeight="14.4" x14ac:dyDescent="0.3"/>
  <cols>
    <col min="1" max="2" width="25.6640625" customWidth="1"/>
    <col min="3" max="3" width="22.6640625" customWidth="1"/>
    <col min="4" max="4" width="25.44140625" customWidth="1"/>
  </cols>
  <sheetData>
    <row r="1" spans="1:4" x14ac:dyDescent="0.3">
      <c r="A1" s="1"/>
    </row>
    <row r="3" spans="1:4" ht="15" thickBot="1" x14ac:dyDescent="0.35"/>
    <row r="4" spans="1:4" ht="22.5" customHeight="1" thickBot="1" x14ac:dyDescent="0.7">
      <c r="A4" s="2"/>
      <c r="B4" s="59" t="s">
        <v>20</v>
      </c>
      <c r="C4" s="62"/>
      <c r="D4" s="63"/>
    </row>
    <row r="5" spans="1:4" ht="18.600000000000001" thickTop="1" x14ac:dyDescent="0.35">
      <c r="A5" s="3"/>
      <c r="B5" s="25" t="s">
        <v>2</v>
      </c>
      <c r="C5" s="26" t="s">
        <v>18</v>
      </c>
      <c r="D5" s="27" t="s">
        <v>3</v>
      </c>
    </row>
    <row r="6" spans="1:4" ht="15.6" x14ac:dyDescent="0.3">
      <c r="B6" s="28" t="s">
        <v>4</v>
      </c>
      <c r="C6" s="29">
        <v>96900.83</v>
      </c>
      <c r="D6" s="30">
        <v>222735</v>
      </c>
    </row>
    <row r="7" spans="1:4" ht="15.6" x14ac:dyDescent="0.3">
      <c r="B7" s="31" t="s">
        <v>5</v>
      </c>
      <c r="C7" s="32">
        <v>93467.16</v>
      </c>
      <c r="D7" s="33">
        <v>287064</v>
      </c>
    </row>
    <row r="8" spans="1:4" ht="15.6" x14ac:dyDescent="0.3">
      <c r="B8" s="28" t="s">
        <v>6</v>
      </c>
      <c r="C8" s="29">
        <v>73443.92</v>
      </c>
      <c r="D8" s="30">
        <v>222001</v>
      </c>
    </row>
    <row r="9" spans="1:4" ht="15.6" x14ac:dyDescent="0.3">
      <c r="B9" s="31" t="s">
        <v>7</v>
      </c>
      <c r="C9" s="32">
        <v>66274.14</v>
      </c>
      <c r="D9" s="33">
        <v>198528</v>
      </c>
    </row>
    <row r="10" spans="1:4" ht="15.6" x14ac:dyDescent="0.3">
      <c r="B10" s="28" t="s">
        <v>8</v>
      </c>
      <c r="C10" s="29">
        <v>73570.100000000006</v>
      </c>
      <c r="D10" s="30">
        <v>235924</v>
      </c>
    </row>
    <row r="11" spans="1:4" ht="15.6" x14ac:dyDescent="0.3">
      <c r="B11" s="31" t="s">
        <v>9</v>
      </c>
      <c r="C11" s="32">
        <v>71303.38</v>
      </c>
      <c r="D11" s="33">
        <v>228030</v>
      </c>
    </row>
    <row r="12" spans="1:4" ht="15.6" x14ac:dyDescent="0.3">
      <c r="B12" s="28" t="s">
        <v>10</v>
      </c>
      <c r="C12" s="29">
        <v>86103.58</v>
      </c>
      <c r="D12" s="30">
        <v>245699</v>
      </c>
    </row>
    <row r="13" spans="1:4" ht="15.6" x14ac:dyDescent="0.3">
      <c r="B13" s="31" t="s">
        <v>11</v>
      </c>
      <c r="C13" s="32">
        <v>97831.38</v>
      </c>
      <c r="D13" s="33">
        <v>301866</v>
      </c>
    </row>
    <row r="14" spans="1:4" ht="15.6" x14ac:dyDescent="0.3">
      <c r="B14" s="28" t="s">
        <v>12</v>
      </c>
      <c r="C14" s="29">
        <v>85117.98</v>
      </c>
      <c r="D14" s="30">
        <v>243950</v>
      </c>
    </row>
    <row r="15" spans="1:4" ht="15.6" x14ac:dyDescent="0.3">
      <c r="B15" s="31" t="s">
        <v>13</v>
      </c>
      <c r="C15" s="32">
        <v>67668.75</v>
      </c>
      <c r="D15" s="33">
        <v>208851</v>
      </c>
    </row>
    <row r="16" spans="1:4" ht="15.6" x14ac:dyDescent="0.3">
      <c r="B16" s="28" t="s">
        <v>14</v>
      </c>
      <c r="C16" s="29">
        <v>85990.81</v>
      </c>
      <c r="D16" s="30">
        <v>246445</v>
      </c>
    </row>
    <row r="17" spans="2:4" ht="15.6" x14ac:dyDescent="0.3">
      <c r="B17" s="31" t="s">
        <v>15</v>
      </c>
      <c r="C17" s="32">
        <v>94741.7</v>
      </c>
      <c r="D17" s="33">
        <v>251377</v>
      </c>
    </row>
    <row r="18" spans="2:4" ht="16.2" thickBot="1" x14ac:dyDescent="0.35">
      <c r="B18" s="16" t="s">
        <v>16</v>
      </c>
      <c r="C18" s="17">
        <v>992413.73</v>
      </c>
      <c r="D18" s="18">
        <v>2892470</v>
      </c>
    </row>
    <row r="19" spans="2:4" x14ac:dyDescent="0.3">
      <c r="C19" s="9"/>
      <c r="D19" s="9"/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19"/>
  <sheetViews>
    <sheetView workbookViewId="0"/>
  </sheetViews>
  <sheetFormatPr defaultRowHeight="14.4" x14ac:dyDescent="0.3"/>
  <cols>
    <col min="1" max="2" width="25.6640625" customWidth="1"/>
    <col min="3" max="3" width="22.6640625" customWidth="1"/>
    <col min="4" max="4" width="25.44140625" customWidth="1"/>
  </cols>
  <sheetData>
    <row r="1" spans="1:4" x14ac:dyDescent="0.3">
      <c r="A1" s="1"/>
    </row>
    <row r="3" spans="1:4" ht="15" thickBot="1" x14ac:dyDescent="0.35"/>
    <row r="4" spans="1:4" ht="22.5" customHeight="1" thickBot="1" x14ac:dyDescent="0.7">
      <c r="A4" s="2"/>
      <c r="B4" s="59" t="s">
        <v>20</v>
      </c>
      <c r="C4" s="62"/>
      <c r="D4" s="63"/>
    </row>
    <row r="5" spans="1:4" ht="18.600000000000001" thickTop="1" x14ac:dyDescent="0.35">
      <c r="A5" s="3"/>
      <c r="B5" s="25" t="s">
        <v>2</v>
      </c>
      <c r="C5" s="26" t="s">
        <v>18</v>
      </c>
      <c r="D5" s="27" t="s">
        <v>3</v>
      </c>
    </row>
    <row r="6" spans="1:4" ht="15.6" x14ac:dyDescent="0.3">
      <c r="B6" s="28" t="s">
        <v>4</v>
      </c>
      <c r="C6" s="29">
        <v>65234.69</v>
      </c>
      <c r="D6" s="30">
        <v>265357</v>
      </c>
    </row>
    <row r="7" spans="1:4" ht="15.6" x14ac:dyDescent="0.3">
      <c r="B7" s="31" t="s">
        <v>5</v>
      </c>
      <c r="C7" s="32">
        <v>79452.78</v>
      </c>
      <c r="D7" s="33">
        <v>333139</v>
      </c>
    </row>
    <row r="8" spans="1:4" ht="15.6" x14ac:dyDescent="0.3">
      <c r="B8" s="28" t="s">
        <v>6</v>
      </c>
      <c r="C8" s="29">
        <v>55278.92</v>
      </c>
      <c r="D8" s="30">
        <v>221620</v>
      </c>
    </row>
    <row r="9" spans="1:4" ht="15.6" x14ac:dyDescent="0.3">
      <c r="B9" s="31" t="s">
        <v>7</v>
      </c>
      <c r="C9" s="32">
        <v>54973.45</v>
      </c>
      <c r="D9" s="33">
        <v>232502</v>
      </c>
    </row>
    <row r="10" spans="1:4" ht="15.6" x14ac:dyDescent="0.3">
      <c r="B10" s="28" t="s">
        <v>8</v>
      </c>
      <c r="C10" s="29">
        <v>52998.239999999998</v>
      </c>
      <c r="D10" s="30">
        <v>230019</v>
      </c>
    </row>
    <row r="11" spans="1:4" ht="15.6" x14ac:dyDescent="0.3">
      <c r="B11" s="31" t="s">
        <v>9</v>
      </c>
      <c r="C11" s="32">
        <v>49888.58</v>
      </c>
      <c r="D11" s="33">
        <v>217663</v>
      </c>
    </row>
    <row r="12" spans="1:4" ht="15.6" x14ac:dyDescent="0.3">
      <c r="B12" s="28" t="s">
        <v>10</v>
      </c>
      <c r="C12" s="29">
        <v>53895.03</v>
      </c>
      <c r="D12" s="30">
        <v>235417</v>
      </c>
    </row>
    <row r="13" spans="1:4" ht="15.6" x14ac:dyDescent="0.3">
      <c r="B13" s="31" t="s">
        <v>11</v>
      </c>
      <c r="C13" s="32">
        <v>56615.18</v>
      </c>
      <c r="D13" s="33">
        <v>247567</v>
      </c>
    </row>
    <row r="14" spans="1:4" ht="15.6" x14ac:dyDescent="0.3">
      <c r="B14" s="28" t="s">
        <v>12</v>
      </c>
      <c r="C14" s="29">
        <v>53182.41</v>
      </c>
      <c r="D14" s="30">
        <v>225846</v>
      </c>
    </row>
    <row r="15" spans="1:4" ht="15.6" x14ac:dyDescent="0.3">
      <c r="B15" s="31" t="s">
        <v>13</v>
      </c>
      <c r="C15" s="32">
        <v>56046.27</v>
      </c>
      <c r="D15" s="33">
        <v>230384</v>
      </c>
    </row>
    <row r="16" spans="1:4" ht="15.6" x14ac:dyDescent="0.3">
      <c r="B16" s="28" t="s">
        <v>14</v>
      </c>
      <c r="C16" s="29">
        <v>63637.38</v>
      </c>
      <c r="D16" s="30">
        <v>261347</v>
      </c>
    </row>
    <row r="17" spans="2:4" ht="15.6" x14ac:dyDescent="0.3">
      <c r="B17" s="31" t="s">
        <v>15</v>
      </c>
      <c r="C17" s="32">
        <v>72667.289999999994</v>
      </c>
      <c r="D17" s="33">
        <v>273619</v>
      </c>
    </row>
    <row r="18" spans="2:4" ht="16.2" thickBot="1" x14ac:dyDescent="0.35">
      <c r="B18" s="16" t="s">
        <v>16</v>
      </c>
      <c r="C18" s="17">
        <v>713870.22000000009</v>
      </c>
      <c r="D18" s="18">
        <v>2974480</v>
      </c>
    </row>
    <row r="19" spans="2:4" x14ac:dyDescent="0.3">
      <c r="C19" s="9"/>
      <c r="D19" s="9"/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21"/>
  <sheetViews>
    <sheetView workbookViewId="0"/>
  </sheetViews>
  <sheetFormatPr defaultRowHeight="14.4" x14ac:dyDescent="0.3"/>
  <cols>
    <col min="1" max="2" width="25.6640625" customWidth="1"/>
    <col min="3" max="3" width="22.6640625" customWidth="1"/>
    <col min="4" max="4" width="25.44140625" customWidth="1"/>
  </cols>
  <sheetData>
    <row r="1" spans="1:4" x14ac:dyDescent="0.3">
      <c r="A1" s="1"/>
    </row>
    <row r="3" spans="1:4" ht="15" thickBot="1" x14ac:dyDescent="0.35"/>
    <row r="4" spans="1:4" ht="22.5" customHeight="1" thickBot="1" x14ac:dyDescent="0.7">
      <c r="A4" s="2"/>
      <c r="B4" s="59" t="s">
        <v>20</v>
      </c>
      <c r="C4" s="62"/>
      <c r="D4" s="63"/>
    </row>
    <row r="5" spans="1:4" ht="18.600000000000001" thickTop="1" x14ac:dyDescent="0.35">
      <c r="A5" s="3"/>
      <c r="B5" s="25" t="s">
        <v>2</v>
      </c>
      <c r="C5" s="26" t="s">
        <v>18</v>
      </c>
      <c r="D5" s="27" t="s">
        <v>3</v>
      </c>
    </row>
    <row r="6" spans="1:4" ht="15.6" x14ac:dyDescent="0.3">
      <c r="B6" s="28" t="s">
        <v>4</v>
      </c>
      <c r="C6" s="29">
        <v>71612.84</v>
      </c>
      <c r="D6" s="30">
        <v>227782</v>
      </c>
    </row>
    <row r="7" spans="1:4" ht="15.6" x14ac:dyDescent="0.3">
      <c r="B7" s="31" t="s">
        <v>5</v>
      </c>
      <c r="C7" s="32">
        <v>80651.16</v>
      </c>
      <c r="D7" s="33">
        <v>250107</v>
      </c>
    </row>
    <row r="8" spans="1:4" ht="15.6" x14ac:dyDescent="0.3">
      <c r="B8" s="28" t="s">
        <v>6</v>
      </c>
      <c r="C8" s="29">
        <v>105429.85</v>
      </c>
      <c r="D8" s="30">
        <v>262902</v>
      </c>
    </row>
    <row r="9" spans="1:4" ht="15.6" x14ac:dyDescent="0.3">
      <c r="B9" s="31" t="s">
        <v>7</v>
      </c>
      <c r="C9" s="32">
        <v>107523.62</v>
      </c>
      <c r="D9" s="33">
        <v>248557</v>
      </c>
    </row>
    <row r="10" spans="1:4" ht="15.6" x14ac:dyDescent="0.3">
      <c r="B10" s="28" t="s">
        <v>8</v>
      </c>
      <c r="C10" s="29">
        <v>99901.66</v>
      </c>
      <c r="D10" s="30">
        <v>229899</v>
      </c>
    </row>
    <row r="11" spans="1:4" ht="15.6" x14ac:dyDescent="0.3">
      <c r="B11" s="31" t="s">
        <v>9</v>
      </c>
      <c r="C11" s="32" t="s">
        <v>19</v>
      </c>
      <c r="D11" s="33">
        <v>227013</v>
      </c>
    </row>
    <row r="12" spans="1:4" ht="15.6" x14ac:dyDescent="0.3">
      <c r="B12" s="28" t="s">
        <v>10</v>
      </c>
      <c r="C12" s="29">
        <v>95355.8</v>
      </c>
      <c r="D12" s="30">
        <v>231426</v>
      </c>
    </row>
    <row r="13" spans="1:4" ht="15.6" x14ac:dyDescent="0.3">
      <c r="B13" s="31" t="s">
        <v>11</v>
      </c>
      <c r="C13" s="32">
        <v>94042.17</v>
      </c>
      <c r="D13" s="33">
        <v>227350</v>
      </c>
    </row>
    <row r="14" spans="1:4" ht="15.6" x14ac:dyDescent="0.3">
      <c r="B14" s="28" t="s">
        <v>12</v>
      </c>
      <c r="C14" s="29">
        <v>93632.31</v>
      </c>
      <c r="D14" s="30">
        <v>227102</v>
      </c>
    </row>
    <row r="15" spans="1:4" ht="15.6" x14ac:dyDescent="0.3">
      <c r="B15" s="31" t="s">
        <v>13</v>
      </c>
      <c r="C15" s="32">
        <v>90193.919999999998</v>
      </c>
      <c r="D15" s="33">
        <v>222440</v>
      </c>
    </row>
    <row r="16" spans="1:4" ht="13.5" customHeight="1" x14ac:dyDescent="0.3">
      <c r="B16" s="28" t="s">
        <v>14</v>
      </c>
      <c r="C16" s="29">
        <v>93444.66</v>
      </c>
      <c r="D16" s="30">
        <v>218999</v>
      </c>
    </row>
    <row r="17" spans="2:4" hidden="1" x14ac:dyDescent="0.3">
      <c r="B17" s="15" t="s">
        <v>15</v>
      </c>
      <c r="C17" s="14">
        <v>108124.56</v>
      </c>
      <c r="D17" s="10">
        <v>247459</v>
      </c>
    </row>
    <row r="18" spans="2:4" ht="16.2" hidden="1" thickBot="1" x14ac:dyDescent="0.35">
      <c r="B18" s="16" t="s">
        <v>16</v>
      </c>
      <c r="C18" s="17">
        <v>1134464.3999999999</v>
      </c>
      <c r="D18" s="18">
        <v>2821036</v>
      </c>
    </row>
    <row r="19" spans="2:4" hidden="1" x14ac:dyDescent="0.3">
      <c r="B19" s="37"/>
      <c r="C19" s="9"/>
      <c r="D19" s="38"/>
    </row>
    <row r="20" spans="2:4" ht="15.6" x14ac:dyDescent="0.3">
      <c r="B20" s="31" t="s">
        <v>15</v>
      </c>
      <c r="C20" s="39">
        <v>108124.56</v>
      </c>
      <c r="D20" s="33">
        <f>16637+230822</f>
        <v>247459</v>
      </c>
    </row>
    <row r="21" spans="2:4" ht="16.2" thickBot="1" x14ac:dyDescent="0.35">
      <c r="B21" s="16" t="s">
        <v>16</v>
      </c>
      <c r="C21" s="17">
        <f>SUM(C6:C20)</f>
        <v>2282501.5100000002</v>
      </c>
      <c r="D21" s="18">
        <f>SUM(D6:D20)</f>
        <v>5889531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18"/>
  <sheetViews>
    <sheetView workbookViewId="0"/>
  </sheetViews>
  <sheetFormatPr defaultRowHeight="14.4" x14ac:dyDescent="0.3"/>
  <cols>
    <col min="1" max="2" width="25.6640625" customWidth="1"/>
    <col min="3" max="3" width="22.6640625" customWidth="1"/>
    <col min="4" max="4" width="25.44140625" customWidth="1"/>
  </cols>
  <sheetData>
    <row r="1" spans="1:4" x14ac:dyDescent="0.3">
      <c r="A1" s="1"/>
    </row>
    <row r="3" spans="1:4" ht="15" thickBot="1" x14ac:dyDescent="0.35"/>
    <row r="4" spans="1:4" ht="21.6" thickBot="1" x14ac:dyDescent="0.35">
      <c r="B4" s="59" t="s">
        <v>20</v>
      </c>
      <c r="C4" s="62"/>
      <c r="D4" s="63"/>
    </row>
    <row r="5" spans="1:4" ht="18.600000000000001" thickTop="1" x14ac:dyDescent="0.35">
      <c r="A5" s="3"/>
      <c r="B5" s="34" t="s">
        <v>2</v>
      </c>
      <c r="C5" s="35" t="s">
        <v>18</v>
      </c>
      <c r="D5" s="36" t="s">
        <v>3</v>
      </c>
    </row>
    <row r="6" spans="1:4" ht="15.6" x14ac:dyDescent="0.3">
      <c r="B6" s="28" t="s">
        <v>4</v>
      </c>
      <c r="C6" s="29">
        <v>106903.59</v>
      </c>
      <c r="D6" s="30">
        <v>241146</v>
      </c>
    </row>
    <row r="7" spans="1:4" ht="15.6" x14ac:dyDescent="0.3">
      <c r="B7" s="31" t="s">
        <v>5</v>
      </c>
      <c r="C7" s="32">
        <v>114670.76</v>
      </c>
      <c r="D7" s="33">
        <v>260809</v>
      </c>
    </row>
    <row r="8" spans="1:4" ht="15.6" x14ac:dyDescent="0.3">
      <c r="B8" s="28" t="s">
        <v>6</v>
      </c>
      <c r="C8" s="29">
        <v>114812.76</v>
      </c>
      <c r="D8" s="30">
        <v>266791</v>
      </c>
    </row>
    <row r="9" spans="1:4" ht="15.6" x14ac:dyDescent="0.3">
      <c r="B9" s="31" t="s">
        <v>7</v>
      </c>
      <c r="C9" s="32">
        <v>111432.68</v>
      </c>
      <c r="D9" s="33">
        <v>270330</v>
      </c>
    </row>
    <row r="10" spans="1:4" ht="15.6" x14ac:dyDescent="0.3">
      <c r="B10" s="28" t="s">
        <v>8</v>
      </c>
      <c r="C10" s="29">
        <v>92963.78</v>
      </c>
      <c r="D10" s="30">
        <v>237949</v>
      </c>
    </row>
    <row r="11" spans="1:4" ht="15.6" x14ac:dyDescent="0.3">
      <c r="B11" s="31" t="s">
        <v>9</v>
      </c>
      <c r="C11" s="32">
        <v>100653.99</v>
      </c>
      <c r="D11" s="33">
        <v>259104</v>
      </c>
    </row>
    <row r="12" spans="1:4" ht="15.6" x14ac:dyDescent="0.3">
      <c r="B12" s="28" t="s">
        <v>10</v>
      </c>
      <c r="C12" s="29">
        <v>104570.99</v>
      </c>
      <c r="D12" s="30">
        <v>268735</v>
      </c>
    </row>
    <row r="13" spans="1:4" ht="15.6" x14ac:dyDescent="0.3">
      <c r="B13" s="31" t="s">
        <v>11</v>
      </c>
      <c r="C13" s="32">
        <v>91186.559999999998</v>
      </c>
      <c r="D13" s="33">
        <v>236734</v>
      </c>
    </row>
    <row r="14" spans="1:4" ht="15.6" x14ac:dyDescent="0.3">
      <c r="B14" s="28" t="s">
        <v>12</v>
      </c>
      <c r="C14" s="29">
        <v>91474.94</v>
      </c>
      <c r="D14" s="30">
        <v>236665</v>
      </c>
    </row>
    <row r="15" spans="1:4" ht="15.6" x14ac:dyDescent="0.3">
      <c r="B15" s="31" t="s">
        <v>13</v>
      </c>
      <c r="C15" s="32">
        <v>89615.17</v>
      </c>
      <c r="D15" s="33">
        <v>234882</v>
      </c>
    </row>
    <row r="16" spans="1:4" ht="15.6" x14ac:dyDescent="0.3">
      <c r="B16" s="28" t="s">
        <v>14</v>
      </c>
      <c r="C16" s="29">
        <v>80107.320000000007</v>
      </c>
      <c r="D16" s="30">
        <v>204663</v>
      </c>
    </row>
    <row r="17" spans="2:4" ht="15.6" x14ac:dyDescent="0.3">
      <c r="B17" s="31" t="s">
        <v>15</v>
      </c>
      <c r="C17" s="32">
        <v>91885.37</v>
      </c>
      <c r="D17" s="33">
        <v>265151</v>
      </c>
    </row>
    <row r="18" spans="2:4" ht="16.2" thickBot="1" x14ac:dyDescent="0.35">
      <c r="B18" s="16" t="s">
        <v>16</v>
      </c>
      <c r="C18" s="17">
        <v>1190277.9099999999</v>
      </c>
      <c r="D18" s="18">
        <v>2768759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18"/>
  <sheetViews>
    <sheetView workbookViewId="0"/>
  </sheetViews>
  <sheetFormatPr defaultRowHeight="14.4" x14ac:dyDescent="0.3"/>
  <cols>
    <col min="1" max="2" width="25.6640625" customWidth="1"/>
    <col min="3" max="3" width="22.6640625" customWidth="1"/>
    <col min="4" max="4" width="25.44140625" customWidth="1"/>
  </cols>
  <sheetData>
    <row r="1" spans="1:4" x14ac:dyDescent="0.3">
      <c r="A1" s="1"/>
    </row>
    <row r="3" spans="1:4" ht="15" thickBot="1" x14ac:dyDescent="0.35"/>
    <row r="4" spans="1:4" ht="21.6" thickBot="1" x14ac:dyDescent="0.35">
      <c r="B4" s="59" t="s">
        <v>20</v>
      </c>
      <c r="C4" s="62"/>
      <c r="D4" s="63"/>
    </row>
    <row r="5" spans="1:4" ht="18.600000000000001" thickTop="1" x14ac:dyDescent="0.35">
      <c r="B5" s="25" t="s">
        <v>2</v>
      </c>
      <c r="C5" s="26" t="s">
        <v>18</v>
      </c>
      <c r="D5" s="27" t="s">
        <v>3</v>
      </c>
    </row>
    <row r="6" spans="1:4" ht="15.6" x14ac:dyDescent="0.3">
      <c r="B6" s="28" t="s">
        <v>4</v>
      </c>
      <c r="C6" s="29">
        <v>75086.039999999994</v>
      </c>
      <c r="D6" s="30">
        <v>218656</v>
      </c>
    </row>
    <row r="7" spans="1:4" ht="15.6" x14ac:dyDescent="0.3">
      <c r="B7" s="31" t="s">
        <v>5</v>
      </c>
      <c r="C7" s="32">
        <v>97811.39</v>
      </c>
      <c r="D7" s="33">
        <v>272024</v>
      </c>
    </row>
    <row r="8" spans="1:4" ht="15.6" x14ac:dyDescent="0.3">
      <c r="B8" s="28" t="s">
        <v>6</v>
      </c>
      <c r="C8" s="29">
        <v>104845.47</v>
      </c>
      <c r="D8" s="30">
        <v>285893</v>
      </c>
    </row>
    <row r="9" spans="1:4" ht="15.6" x14ac:dyDescent="0.3">
      <c r="B9" s="31" t="s">
        <v>7</v>
      </c>
      <c r="C9" s="32">
        <v>86377.88</v>
      </c>
      <c r="D9" s="33">
        <v>254861</v>
      </c>
    </row>
    <row r="10" spans="1:4" ht="15.6" x14ac:dyDescent="0.3">
      <c r="B10" s="28" t="s">
        <v>8</v>
      </c>
      <c r="C10" s="29">
        <v>85812.29</v>
      </c>
      <c r="D10" s="30">
        <v>227047</v>
      </c>
    </row>
    <row r="11" spans="1:4" ht="15.6" x14ac:dyDescent="0.3">
      <c r="B11" s="31" t="s">
        <v>9</v>
      </c>
      <c r="C11" s="32">
        <v>95527.039999999994</v>
      </c>
      <c r="D11" s="33">
        <v>268545</v>
      </c>
    </row>
    <row r="12" spans="1:4" ht="15.6" x14ac:dyDescent="0.3">
      <c r="B12" s="28" t="s">
        <v>10</v>
      </c>
      <c r="C12" s="29">
        <v>89312.1</v>
      </c>
      <c r="D12" s="30">
        <v>247137</v>
      </c>
    </row>
    <row r="13" spans="1:4" ht="15.6" x14ac:dyDescent="0.3">
      <c r="B13" s="31" t="s">
        <v>11</v>
      </c>
      <c r="C13" s="32">
        <v>92381.64</v>
      </c>
      <c r="D13" s="33">
        <v>243422</v>
      </c>
    </row>
    <row r="14" spans="1:4" ht="15.6" x14ac:dyDescent="0.3">
      <c r="B14" s="28" t="s">
        <v>12</v>
      </c>
      <c r="C14" s="29">
        <v>84565.43</v>
      </c>
      <c r="D14" s="30">
        <v>239154</v>
      </c>
    </row>
    <row r="15" spans="1:4" ht="15.6" x14ac:dyDescent="0.3">
      <c r="B15" s="31" t="s">
        <v>13</v>
      </c>
      <c r="C15" s="32">
        <v>82613.66</v>
      </c>
      <c r="D15" s="33">
        <v>229781</v>
      </c>
    </row>
    <row r="16" spans="1:4" ht="15.6" x14ac:dyDescent="0.3">
      <c r="B16" s="28" t="s">
        <v>14</v>
      </c>
      <c r="C16" s="29">
        <v>88174.75</v>
      </c>
      <c r="D16" s="30">
        <v>243829</v>
      </c>
    </row>
    <row r="17" spans="2:4" ht="15.6" x14ac:dyDescent="0.3">
      <c r="B17" s="31" t="s">
        <v>15</v>
      </c>
      <c r="C17" s="32">
        <v>91481.46</v>
      </c>
      <c r="D17" s="33">
        <v>231174</v>
      </c>
    </row>
    <row r="18" spans="2:4" ht="16.2" thickBot="1" x14ac:dyDescent="0.35">
      <c r="B18" s="16" t="s">
        <v>16</v>
      </c>
      <c r="C18" s="17">
        <f>SUM(C6:C17)</f>
        <v>1073989.1500000001</v>
      </c>
      <c r="D18" s="18">
        <f>SUM(D6:D17)</f>
        <v>2961523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D19"/>
  <sheetViews>
    <sheetView workbookViewId="0"/>
  </sheetViews>
  <sheetFormatPr defaultRowHeight="14.4" x14ac:dyDescent="0.3"/>
  <cols>
    <col min="1" max="2" width="25.6640625" customWidth="1"/>
    <col min="3" max="3" width="22.6640625" customWidth="1"/>
    <col min="4" max="4" width="25.44140625" customWidth="1"/>
  </cols>
  <sheetData>
    <row r="1" spans="1:4" x14ac:dyDescent="0.3">
      <c r="A1" s="1"/>
    </row>
    <row r="3" spans="1:4" ht="15" thickBot="1" x14ac:dyDescent="0.35"/>
    <row r="4" spans="1:4" ht="22.5" customHeight="1" thickBot="1" x14ac:dyDescent="0.7">
      <c r="A4" s="2"/>
      <c r="B4" s="59" t="s">
        <v>20</v>
      </c>
      <c r="C4" s="62"/>
      <c r="D4" s="63"/>
    </row>
    <row r="5" spans="1:4" ht="18.600000000000001" thickTop="1" x14ac:dyDescent="0.35">
      <c r="A5" s="3"/>
      <c r="B5" s="22" t="s">
        <v>2</v>
      </c>
      <c r="C5" s="23" t="s">
        <v>18</v>
      </c>
      <c r="D5" s="24" t="s">
        <v>3</v>
      </c>
    </row>
    <row r="6" spans="1:4" ht="15.6" x14ac:dyDescent="0.3">
      <c r="B6" s="31" t="s">
        <v>4</v>
      </c>
      <c r="C6" s="32">
        <v>106445.79</v>
      </c>
      <c r="D6" s="33">
        <v>241460</v>
      </c>
    </row>
    <row r="7" spans="1:4" ht="15.6" x14ac:dyDescent="0.3">
      <c r="B7" s="28" t="s">
        <v>5</v>
      </c>
      <c r="C7" s="29">
        <v>135112.35999999999</v>
      </c>
      <c r="D7" s="30">
        <v>282985</v>
      </c>
    </row>
    <row r="8" spans="1:4" ht="15.6" x14ac:dyDescent="0.3">
      <c r="B8" s="31" t="s">
        <v>6</v>
      </c>
      <c r="C8" s="32">
        <v>128319.6</v>
      </c>
      <c r="D8" s="33">
        <v>277285</v>
      </c>
    </row>
    <row r="9" spans="1:4" ht="15.6" x14ac:dyDescent="0.3">
      <c r="B9" s="28" t="s">
        <v>7</v>
      </c>
      <c r="C9" s="29">
        <v>135290.82</v>
      </c>
      <c r="D9" s="30">
        <v>283200</v>
      </c>
    </row>
    <row r="10" spans="1:4" ht="15.6" x14ac:dyDescent="0.3">
      <c r="B10" s="31" t="s">
        <v>8</v>
      </c>
      <c r="C10" s="32">
        <v>123080.39</v>
      </c>
      <c r="D10" s="33">
        <v>274274</v>
      </c>
    </row>
    <row r="11" spans="1:4" ht="15.6" x14ac:dyDescent="0.3">
      <c r="B11" s="28" t="s">
        <v>9</v>
      </c>
      <c r="C11" s="29">
        <v>140145.76999999999</v>
      </c>
      <c r="D11" s="30">
        <v>266636</v>
      </c>
    </row>
    <row r="12" spans="1:4" ht="15.6" x14ac:dyDescent="0.3">
      <c r="B12" s="31" t="s">
        <v>10</v>
      </c>
      <c r="C12" s="32">
        <v>143859.91</v>
      </c>
      <c r="D12" s="33">
        <v>283543</v>
      </c>
    </row>
    <row r="13" spans="1:4" ht="15.6" x14ac:dyDescent="0.3">
      <c r="B13" s="28" t="s">
        <v>11</v>
      </c>
      <c r="C13" s="29">
        <v>141832.41</v>
      </c>
      <c r="D13" s="30">
        <v>295427</v>
      </c>
    </row>
    <row r="14" spans="1:4" ht="15.6" x14ac:dyDescent="0.3">
      <c r="B14" s="31" t="s">
        <v>12</v>
      </c>
      <c r="C14" s="32">
        <v>120493.73</v>
      </c>
      <c r="D14" s="33">
        <v>238354</v>
      </c>
    </row>
    <row r="15" spans="1:4" ht="15.6" x14ac:dyDescent="0.3">
      <c r="B15" s="28" t="s">
        <v>13</v>
      </c>
      <c r="C15" s="29">
        <v>115270.25</v>
      </c>
      <c r="D15" s="30">
        <v>216377</v>
      </c>
    </row>
    <row r="16" spans="1:4" ht="15.6" x14ac:dyDescent="0.3">
      <c r="B16" s="31" t="s">
        <v>14</v>
      </c>
      <c r="C16" s="32">
        <v>125827.47</v>
      </c>
      <c r="D16" s="33">
        <v>260222</v>
      </c>
    </row>
    <row r="17" spans="2:4" ht="15.6" x14ac:dyDescent="0.3">
      <c r="B17" s="28" t="s">
        <v>15</v>
      </c>
      <c r="C17" s="29">
        <v>133144.37</v>
      </c>
      <c r="D17" s="30">
        <v>273642.37</v>
      </c>
    </row>
    <row r="18" spans="2:4" ht="16.2" thickBot="1" x14ac:dyDescent="0.35">
      <c r="B18" s="16" t="s">
        <v>16</v>
      </c>
      <c r="C18" s="17">
        <f>SUM(C6:C17)</f>
        <v>1548822.87</v>
      </c>
      <c r="D18" s="18">
        <f>SUM(D6:D17)</f>
        <v>3193405.37</v>
      </c>
    </row>
    <row r="19" spans="2:4" x14ac:dyDescent="0.3">
      <c r="C19" s="9"/>
      <c r="D19" s="9"/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D19"/>
  <sheetViews>
    <sheetView workbookViewId="0"/>
  </sheetViews>
  <sheetFormatPr defaultRowHeight="14.4" x14ac:dyDescent="0.3"/>
  <cols>
    <col min="1" max="2" width="25.6640625" customWidth="1"/>
    <col min="3" max="3" width="22.6640625" customWidth="1"/>
    <col min="4" max="4" width="25.44140625" customWidth="1"/>
  </cols>
  <sheetData>
    <row r="1" spans="1:4" x14ac:dyDescent="0.3">
      <c r="A1" s="40"/>
    </row>
    <row r="3" spans="1:4" ht="15" thickBot="1" x14ac:dyDescent="0.35"/>
    <row r="4" spans="1:4" ht="22.5" customHeight="1" thickBot="1" x14ac:dyDescent="0.7">
      <c r="A4" s="2"/>
      <c r="B4" s="64" t="s">
        <v>20</v>
      </c>
      <c r="C4" s="65"/>
      <c r="D4" s="66"/>
    </row>
    <row r="5" spans="1:4" ht="18" x14ac:dyDescent="0.35">
      <c r="A5" s="3"/>
      <c r="B5" s="19" t="s">
        <v>2</v>
      </c>
      <c r="C5" s="20" t="s">
        <v>18</v>
      </c>
      <c r="D5" s="21" t="s">
        <v>3</v>
      </c>
    </row>
    <row r="6" spans="1:4" ht="15.6" x14ac:dyDescent="0.3">
      <c r="B6" s="31" t="s">
        <v>4</v>
      </c>
      <c r="C6" s="32">
        <v>115692.79</v>
      </c>
      <c r="D6" s="33">
        <v>235929</v>
      </c>
    </row>
    <row r="7" spans="1:4" ht="15.6" x14ac:dyDescent="0.3">
      <c r="B7" s="28" t="s">
        <v>5</v>
      </c>
      <c r="C7" s="29">
        <v>123037.65</v>
      </c>
      <c r="D7" s="30">
        <f>260749+18629+7+93</f>
        <v>279478</v>
      </c>
    </row>
    <row r="8" spans="1:4" ht="15.6" x14ac:dyDescent="0.3">
      <c r="B8" s="31" t="s">
        <v>6</v>
      </c>
      <c r="C8" s="32">
        <v>147637.67000000001</v>
      </c>
      <c r="D8" s="33">
        <f>7+20248+93+274183</f>
        <v>294531</v>
      </c>
    </row>
    <row r="9" spans="1:4" ht="15.6" x14ac:dyDescent="0.3">
      <c r="B9" s="28" t="s">
        <v>7</v>
      </c>
      <c r="C9" s="29">
        <v>126429.71</v>
      </c>
      <c r="D9" s="30">
        <f>7+17892+93+237464</f>
        <v>255456</v>
      </c>
    </row>
    <row r="10" spans="1:4" ht="15.6" x14ac:dyDescent="0.3">
      <c r="B10" s="31" t="s">
        <v>8</v>
      </c>
      <c r="C10" s="32">
        <v>126280.31</v>
      </c>
      <c r="D10" s="33">
        <f>7+18522+93+246720</f>
        <v>265342</v>
      </c>
    </row>
    <row r="11" spans="1:4" ht="15.6" x14ac:dyDescent="0.3">
      <c r="B11" s="28" t="s">
        <v>9</v>
      </c>
      <c r="C11" s="29">
        <v>113829.73</v>
      </c>
      <c r="D11" s="30">
        <f>8+19237+92+232308</f>
        <v>251645</v>
      </c>
    </row>
    <row r="12" spans="1:4" ht="15.6" x14ac:dyDescent="0.3">
      <c r="B12" s="31" t="s">
        <v>10</v>
      </c>
      <c r="C12" s="32">
        <v>139670.47</v>
      </c>
      <c r="D12" s="33">
        <f>7+19096+93+265868</f>
        <v>285064</v>
      </c>
    </row>
    <row r="13" spans="1:4" ht="15.6" x14ac:dyDescent="0.3">
      <c r="B13" s="28" t="s">
        <v>11</v>
      </c>
      <c r="C13" s="29">
        <v>139811.10999999999</v>
      </c>
      <c r="D13" s="30">
        <f>7+20373+93+259986</f>
        <v>280459</v>
      </c>
    </row>
    <row r="14" spans="1:4" ht="15.6" x14ac:dyDescent="0.3">
      <c r="B14" s="31" t="s">
        <v>12</v>
      </c>
      <c r="C14" s="32">
        <v>146145.10999999999</v>
      </c>
      <c r="D14" s="33">
        <f>7+20575+93+263292</f>
        <v>283967</v>
      </c>
    </row>
    <row r="15" spans="1:4" ht="15.6" x14ac:dyDescent="0.3">
      <c r="B15" s="28" t="s">
        <v>13</v>
      </c>
      <c r="C15" s="29">
        <v>112531.51</v>
      </c>
      <c r="D15" s="30">
        <f>8+17670+204066+92</f>
        <v>221836</v>
      </c>
    </row>
    <row r="16" spans="1:4" ht="15.6" x14ac:dyDescent="0.3">
      <c r="B16" s="31" t="s">
        <v>14</v>
      </c>
      <c r="C16" s="32">
        <v>124388.35</v>
      </c>
      <c r="D16" s="33">
        <f>18209+7+93+237484</f>
        <v>255793</v>
      </c>
    </row>
    <row r="17" spans="2:4" ht="15.6" x14ac:dyDescent="0.3">
      <c r="B17" s="28" t="s">
        <v>15</v>
      </c>
      <c r="C17" s="29">
        <v>140894.59</v>
      </c>
      <c r="D17" s="30">
        <f>19082+7+93+255767</f>
        <v>274949</v>
      </c>
    </row>
    <row r="18" spans="2:4" ht="16.2" thickBot="1" x14ac:dyDescent="0.35">
      <c r="B18" s="16" t="s">
        <v>16</v>
      </c>
      <c r="C18" s="17">
        <f>SUM(C6:C17)</f>
        <v>1556349</v>
      </c>
      <c r="D18" s="18">
        <f>SUM(D6:D17)</f>
        <v>3184449</v>
      </c>
    </row>
    <row r="19" spans="2:4" x14ac:dyDescent="0.3">
      <c r="C19" s="9"/>
      <c r="D19" s="9"/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15</vt:i4>
      </vt:variant>
    </vt:vector>
  </HeadingPairs>
  <TitlesOfParts>
    <vt:vector size="15" baseType="lpstr">
      <vt:lpstr>HISTORICO</vt:lpstr>
      <vt:lpstr>2012</vt:lpstr>
      <vt:lpstr>2013</vt:lpstr>
      <vt:lpstr>2014</vt:lpstr>
      <vt:lpstr>2015</vt:lpstr>
      <vt:lpstr>2016</vt:lpstr>
      <vt:lpstr>2017</vt:lpstr>
      <vt:lpstr>2018</vt:lpstr>
      <vt:lpstr>2019</vt:lpstr>
      <vt:lpstr>2020</vt:lpstr>
      <vt:lpstr>2021</vt:lpstr>
      <vt:lpstr>2022</vt:lpstr>
      <vt:lpstr>2023</vt:lpstr>
      <vt:lpstr>2024</vt:lpstr>
      <vt:lpstr>Gráfico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Juuh</dc:creator>
  <cp:lastModifiedBy>Microsoft Linse</cp:lastModifiedBy>
  <dcterms:created xsi:type="dcterms:W3CDTF">2013-09-10T13:21:21Z</dcterms:created>
  <dcterms:modified xsi:type="dcterms:W3CDTF">2024-03-28T19:30:56Z</dcterms:modified>
</cp:coreProperties>
</file>